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420" windowWidth="15456" windowHeight="10200" activeTab="0"/>
  </bookViews>
  <sheets>
    <sheet name="2023-2025" sheetId="1" r:id="rId1"/>
  </sheets>
  <definedNames/>
  <calcPr fullCalcOnLoad="1"/>
</workbook>
</file>

<file path=xl/sharedStrings.xml><?xml version="1.0" encoding="utf-8"?>
<sst xmlns="http://schemas.openxmlformats.org/spreadsheetml/2006/main" count="1322" uniqueCount="216">
  <si>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</si>
  <si>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</si>
  <si>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</si>
  <si>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</si>
  <si>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</si>
  <si>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</si>
  <si>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</si>
  <si>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</si>
  <si>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</si>
  <si>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</si>
  <si>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</si>
  <si>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</si>
  <si>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</si>
  <si>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</si>
  <si>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</si>
  <si>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</si>
  <si>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</si>
  <si>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</si>
  <si>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</si>
  <si>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</si>
  <si>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</si>
  <si>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</si>
  <si>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</si>
  <si>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</si>
  <si>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</si>
  <si>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</si>
  <si>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</si>
  <si>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</si>
  <si>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</si>
  <si>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</si>
  <si>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</si>
  <si>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</si>
  <si>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</si>
  <si>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</si>
  <si>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</si>
  <si>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</si>
  <si>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</si>
  <si>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</si>
  <si>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</si>
  <si>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</si>
  <si>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</si>
  <si>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</si>
  <si>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</si>
  <si>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</si>
  <si>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</si>
  <si>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</si>
  <si>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</si>
  <si>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</si>
  <si>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</si>
  <si>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</si>
  <si>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</si>
  <si>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</si>
  <si>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</si>
  <si>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</si>
  <si>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</si>
  <si>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</si>
  <si>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</si>
  <si>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</si>
  <si>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</si>
  <si>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</si>
  <si>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</si>
  <si>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</si>
  <si>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</si>
  <si>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</si>
  <si>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</si>
  <si>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</si>
  <si>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</si>
  <si>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</si>
  <si>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</si>
  <si>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</si>
  <si>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</si>
  <si>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</si>
  <si>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</si>
  <si>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</si>
  <si>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</si>
  <si>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</si>
  <si>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</si>
  <si>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</si>
  <si>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</si>
  <si>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</si>
  <si>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</si>
  <si>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</si>
  <si>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</si>
  <si>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</si>
  <si>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</si>
  <si>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</si>
  <si>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</si>
  <si>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</si>
  <si>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</si>
  <si>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</si>
  <si>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</si>
  <si>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</si>
  <si>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</si>
  <si>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</si>
  <si>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</si>
  <si>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</si>
  <si>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</si>
  <si>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</si>
  <si>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02 0 0000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</si>
  <si>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</si>
  <si>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</si>
  <si>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</si>
  <si>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Непрограммные расходы органов муниципальной власти Киквидзенского муниципального района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</si>
  <si>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</si>
  <si>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</si>
  <si>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</si>
  <si>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</si>
  <si>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</si>
  <si>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</si>
  <si>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</si>
  <si>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</si>
  <si>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</si>
  <si>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</si>
  <si>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</si>
  <si>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</si>
  <si>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</si>
  <si>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</si>
  <si>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6</t>
  </si>
  <si>
    <t>рублей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</si>
  <si>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</si>
  <si>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</si>
  <si>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</si>
  <si>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0314</t>
  </si>
  <si>
    <t>7</t>
  </si>
  <si>
    <t>0503</t>
  </si>
  <si>
    <t>Благоустройство</t>
  </si>
  <si>
    <t>0705</t>
  </si>
  <si>
    <t>Профессиональная подготовка, переподготовка и повышение квалификации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</si>
  <si>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</si>
  <si>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</si>
  <si>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</si>
  <si>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</si>
  <si>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Целевая статья (государственная программа и непрограммное направление деятельности)</t>
  </si>
  <si>
    <t xml:space="preserve">90 0 </t>
  </si>
  <si>
    <t xml:space="preserve">02 0 </t>
  </si>
  <si>
    <t xml:space="preserve">99 0 </t>
  </si>
  <si>
    <t xml:space="preserve">03 0 </t>
  </si>
  <si>
    <t xml:space="preserve">04 0 </t>
  </si>
  <si>
    <t xml:space="preserve">16 0 </t>
  </si>
  <si>
    <t xml:space="preserve">06 0 </t>
  </si>
  <si>
    <t xml:space="preserve">01 0 </t>
  </si>
  <si>
    <t xml:space="preserve">08 0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</si>
  <si>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</si>
  <si>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</si>
  <si>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</si>
  <si>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</si>
  <si>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</si>
  <si>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</si>
  <si>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</si>
  <si>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</si>
  <si>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</si>
  <si>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</si>
  <si>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</si>
  <si>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23 0</t>
  </si>
  <si>
    <t>24 0</t>
  </si>
  <si>
    <t>06 0</t>
  </si>
  <si>
    <t>06 2</t>
  </si>
  <si>
    <t xml:space="preserve">06 2 </t>
  </si>
  <si>
    <t>Муниципальная программа  "Поддержка и развитие культуры в Киквидзенском муниципальном районе" на 2017-2020 годы</t>
  </si>
  <si>
    <t>08 0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</si>
  <si>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</si>
  <si>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</si>
  <si>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>Другие вопросы в области культуры, кинематографии</t>
  </si>
  <si>
    <t>0804</t>
  </si>
  <si>
    <t>09 0</t>
  </si>
  <si>
    <t>Другие вопросы в области социальной политики</t>
  </si>
  <si>
    <t>1006</t>
  </si>
  <si>
    <t>0703</t>
  </si>
  <si>
    <t>Дополнительное образование детей</t>
  </si>
  <si>
    <t>90 0</t>
  </si>
  <si>
    <t>Капитальные вложения в объекты государственной (муниципальной) собственности</t>
  </si>
  <si>
    <t>1202</t>
  </si>
  <si>
    <t>05 0</t>
  </si>
  <si>
    <t>Периодическая печать и издательства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</si>
  <si>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</si>
  <si>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</si>
  <si>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</si>
  <si>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</si>
  <si>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</si>
  <si>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</si>
  <si>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</si>
  <si>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</si>
  <si>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«Развитие образования в Киквидзенском муниципальном районе»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</si>
  <si>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</si>
  <si>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</si>
  <si>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</si>
  <si>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</si>
  <si>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</si>
  <si>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 xml:space="preserve">06 1 </t>
  </si>
  <si>
    <t>06 1</t>
  </si>
  <si>
    <t>Подпрограмма "Обеспечение функционирования муниципальной системы образования"</t>
  </si>
  <si>
    <t>Подпрограмма "Развитие дошкольного, общего и дополнительного образования"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</si>
  <si>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</si>
  <si>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 xml:space="preserve">14 0 </t>
  </si>
  <si>
    <t>17 0</t>
  </si>
  <si>
    <t>02 0</t>
  </si>
  <si>
    <t xml:space="preserve">06  </t>
  </si>
  <si>
    <t>Подпрограмма "Обеспечение персонифицированного финансирования дополнительного образования детей"</t>
  </si>
  <si>
    <t>06 3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</si>
  <si>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</si>
  <si>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</si>
  <si>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2024 год</t>
  </si>
  <si>
    <t xml:space="preserve"> 2025 год</t>
  </si>
  <si>
    <t>Бюджетные инвестиции</t>
  </si>
  <si>
    <t>Муниципальная программа «Развитие агропромышленного комплекса Киквидзенского муниципального района Волгоградской области» на 2017-2025 годы</t>
  </si>
  <si>
    <t xml:space="preserve">18 0 </t>
  </si>
  <si>
    <t>0309</t>
  </si>
  <si>
    <t>04 0</t>
  </si>
  <si>
    <t>Гражданская оборона</t>
  </si>
  <si>
    <t>0600</t>
  </si>
  <si>
    <t>0605</t>
  </si>
  <si>
    <t>Другие вопросы в области охраны окружающей среды</t>
  </si>
  <si>
    <t>ОХРАНА ОКРУЖАЮЩЕЙ СРЕДЫ</t>
  </si>
  <si>
    <t>Приложение № 3  к Решению Киквидзенской районной Думы                                      проект</t>
  </si>
  <si>
    <t>Распределение бюджетных ассигнований по разделам, подразделам, целевым статьям и видам расходов классификации расходов  бюджета Киквидзенского муниципального района на 2024 год и плановый период 2025-2026 годов</t>
  </si>
  <si>
    <t xml:space="preserve"> 2026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</si>
</sst>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6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6"/>
  <sheetViews>
    <sheetView tabSelected="1" zoomScalePageLayoutView="0" workbookViewId="0" topLeftCell="A349">
      <selection activeCell="E363" sqref="E363"/>
    </sheetView>
  </sheetViews>
  <sheetFormatPr defaultColWidth="9.140625" defaultRowHeight="12.75"/>
  <cols>
    <col min="1" max="1" width="41.28125" style="0" customWidth="1"/>
    <col min="2" max="2" width="14.28125" style="0" customWidth="1"/>
    <col min="3" max="3" width="20.28125" style="0" customWidth="1"/>
    <col min="4" max="4" width="13.28125" style="0" customWidth="1"/>
    <col min="5" max="5" width="18.8515625" style="0" customWidth="1"/>
    <col min="6" max="6" width="19.140625" style="0" customWidth="1"/>
    <col min="7" max="7" width="19.8515625" style="0" customWidth="1"/>
    <col min="10" max="10" width="12.7109375" style="0" bestFit="1" customWidth="1"/>
  </cols>
  <sheetData>
    <row r="1" spans="1:7" ht="57" customHeight="1">
      <c r="A1" s="4"/>
      <c r="B1" s="5"/>
      <c r="C1" s="29" t="s">
        <v>213</v>
      </c>
      <c r="D1" s="30"/>
      <c r="E1" s="30"/>
      <c r="F1" s="30"/>
      <c r="G1" s="30"/>
    </row>
    <row r="2" spans="1:7" ht="63.75" customHeight="1">
      <c r="A2" s="28" t="s">
        <v>214</v>
      </c>
      <c r="B2" s="28"/>
      <c r="C2" s="28"/>
      <c r="D2" s="28"/>
      <c r="E2" s="28"/>
      <c r="F2" s="28"/>
      <c r="G2" s="28"/>
    </row>
    <row r="3" spans="1:5" ht="17.25">
      <c r="A3" s="6"/>
      <c r="B3" s="6"/>
      <c r="C3" s="6"/>
      <c r="D3" s="6"/>
      <c r="E3" s="6"/>
    </row>
    <row r="4" spans="1:7" ht="18">
      <c r="A4" s="6"/>
      <c r="B4" s="6"/>
      <c r="C4" s="6"/>
      <c r="D4" s="5"/>
      <c r="E4" s="15"/>
      <c r="G4" s="15" t="s">
        <v>118</v>
      </c>
    </row>
    <row r="5" spans="1:10" ht="104.25">
      <c r="A5" s="2" t="s">
        <v>89</v>
      </c>
      <c r="B5" s="1" t="s">
        <v>96</v>
      </c>
      <c r="C5" s="1" t="s">
        <v>132</v>
      </c>
      <c r="D5" s="1" t="s">
        <v>94</v>
      </c>
      <c r="E5" s="3" t="s">
        <v>201</v>
      </c>
      <c r="F5" s="3" t="s">
        <v>202</v>
      </c>
      <c r="G5" s="3" t="s">
        <v>215</v>
      </c>
      <c r="J5" s="19"/>
    </row>
    <row r="6" spans="1:7" ht="17.25">
      <c r="A6" s="2" t="s">
        <v>90</v>
      </c>
      <c r="B6" s="1" t="s">
        <v>91</v>
      </c>
      <c r="C6" s="1" t="s">
        <v>92</v>
      </c>
      <c r="D6" s="1" t="s">
        <v>93</v>
      </c>
      <c r="E6" s="2" t="s">
        <v>95</v>
      </c>
      <c r="F6" s="2" t="s">
        <v>117</v>
      </c>
      <c r="G6" s="2" t="s">
        <v>123</v>
      </c>
    </row>
    <row r="7" spans="1:7" ht="17.25">
      <c r="A7" s="7"/>
      <c r="B7" s="7"/>
      <c r="C7" s="7"/>
      <c r="D7" s="7"/>
      <c r="E7" s="7"/>
      <c r="F7" s="7"/>
      <c r="G7" s="7"/>
    </row>
    <row r="8" spans="1:7" ht="40.5" customHeight="1">
      <c r="A8" s="11" t="s">
        <v>1</v>
      </c>
      <c r="B8" s="8" t="s">
        <v>2</v>
      </c>
      <c r="C8" s="8" t="s">
        <v>0</v>
      </c>
      <c r="D8" s="8" t="s">
        <v>0</v>
      </c>
      <c r="E8" s="20">
        <f>E9+E12+E23+E44+E58+E62+E65+E41</f>
        <v>63129685</v>
      </c>
      <c r="F8" s="20">
        <f>F9+F12+F23+F44+F58+F62+F65+F41</f>
        <v>75262746</v>
      </c>
      <c r="G8" s="20">
        <f>G9+G12+G23+G44+G58+G62+G65+G41</f>
        <v>79316546</v>
      </c>
    </row>
    <row r="9" spans="1:7" ht="69">
      <c r="A9" s="11" t="s">
        <v>3</v>
      </c>
      <c r="B9" s="8" t="s">
        <v>4</v>
      </c>
      <c r="C9" s="8" t="s">
        <v>0</v>
      </c>
      <c r="D9" s="8" t="s">
        <v>0</v>
      </c>
      <c r="E9" s="20">
        <f aca="true" t="shared" si="0" ref="E9:G10">E10</f>
        <v>1943719</v>
      </c>
      <c r="F9" s="20">
        <f t="shared" si="0"/>
        <v>1943719</v>
      </c>
      <c r="G9" s="20">
        <f t="shared" si="0"/>
        <v>1943719</v>
      </c>
    </row>
    <row r="10" spans="1:7" ht="99.75" customHeight="1">
      <c r="A10" s="11" t="s">
        <v>100</v>
      </c>
      <c r="B10" s="8" t="s">
        <v>4</v>
      </c>
      <c r="C10" s="8" t="s">
        <v>133</v>
      </c>
      <c r="D10" s="8" t="s">
        <v>0</v>
      </c>
      <c r="E10" s="20">
        <f t="shared" si="0"/>
        <v>1943719</v>
      </c>
      <c r="F10" s="20">
        <f t="shared" si="0"/>
        <v>1943719</v>
      </c>
      <c r="G10" s="20">
        <f t="shared" si="0"/>
        <v>1943719</v>
      </c>
    </row>
    <row r="11" spans="1:7" ht="128.25" customHeight="1">
      <c r="A11" s="10" t="s">
        <v>5</v>
      </c>
      <c r="B11" s="9" t="s">
        <v>4</v>
      </c>
      <c r="C11" s="9" t="s">
        <v>133</v>
      </c>
      <c r="D11" s="9" t="s">
        <v>6</v>
      </c>
      <c r="E11" s="21">
        <f>1943719</f>
        <v>1943719</v>
      </c>
      <c r="F11" s="21">
        <f>1943719</f>
        <v>1943719</v>
      </c>
      <c r="G11" s="21">
        <f>1943719</f>
        <v>1943719</v>
      </c>
    </row>
    <row r="12" spans="1:7" ht="113.25" customHeight="1" hidden="1">
      <c r="A12" s="11" t="s">
        <v>7</v>
      </c>
      <c r="B12" s="8" t="s">
        <v>8</v>
      </c>
      <c r="C12" s="8" t="s">
        <v>0</v>
      </c>
      <c r="D12" s="8" t="s">
        <v>0</v>
      </c>
      <c r="E12" s="20">
        <f>E13+E21+E17</f>
        <v>0</v>
      </c>
      <c r="F12" s="20">
        <f>F13+F21+F17</f>
        <v>0</v>
      </c>
      <c r="G12" s="20">
        <f>G13+G21+G17</f>
        <v>0</v>
      </c>
    </row>
    <row r="13" spans="1:7" ht="117" customHeight="1" hidden="1">
      <c r="A13" s="11" t="s">
        <v>174</v>
      </c>
      <c r="B13" s="8" t="s">
        <v>8</v>
      </c>
      <c r="C13" s="8" t="s">
        <v>194</v>
      </c>
      <c r="D13" s="8" t="s">
        <v>0</v>
      </c>
      <c r="E13" s="20">
        <f>SUM(E14:E16)</f>
        <v>0</v>
      </c>
      <c r="F13" s="20">
        <f>SUM(F14:F16)</f>
        <v>0</v>
      </c>
      <c r="G13" s="20">
        <f>SUM(G14:G16)</f>
        <v>0</v>
      </c>
    </row>
    <row r="14" spans="1:7" ht="128.25" customHeight="1" hidden="1">
      <c r="A14" s="10" t="s">
        <v>5</v>
      </c>
      <c r="B14" s="9" t="s">
        <v>8</v>
      </c>
      <c r="C14" s="9" t="s">
        <v>194</v>
      </c>
      <c r="D14" s="9" t="s">
        <v>6</v>
      </c>
      <c r="E14" s="21"/>
      <c r="F14" s="21"/>
      <c r="G14" s="21"/>
    </row>
    <row r="15" spans="1:7" ht="60" customHeight="1" hidden="1">
      <c r="A15" s="10" t="s">
        <v>9</v>
      </c>
      <c r="B15" s="9" t="s">
        <v>8</v>
      </c>
      <c r="C15" s="9" t="s">
        <v>194</v>
      </c>
      <c r="D15" s="9" t="s">
        <v>10</v>
      </c>
      <c r="E15" s="21"/>
      <c r="F15" s="21"/>
      <c r="G15" s="21"/>
    </row>
    <row r="16" spans="1:7" ht="82.5" customHeight="1" hidden="1">
      <c r="A16" s="10" t="s">
        <v>9</v>
      </c>
      <c r="B16" s="9" t="s">
        <v>8</v>
      </c>
      <c r="C16" s="9" t="s">
        <v>150</v>
      </c>
      <c r="D16" s="9" t="s">
        <v>13</v>
      </c>
      <c r="E16" s="21"/>
      <c r="F16" s="21"/>
      <c r="G16" s="21"/>
    </row>
    <row r="17" spans="1:7" ht="99" customHeight="1" hidden="1">
      <c r="A17" s="11" t="s">
        <v>100</v>
      </c>
      <c r="B17" s="8" t="s">
        <v>8</v>
      </c>
      <c r="C17" s="8" t="s">
        <v>169</v>
      </c>
      <c r="D17" s="8"/>
      <c r="E17" s="20">
        <f>E18+E19+E20</f>
        <v>0</v>
      </c>
      <c r="F17" s="20">
        <f>F18+F19+F20</f>
        <v>0</v>
      </c>
      <c r="G17" s="20">
        <f>G18+G19+G20</f>
        <v>0</v>
      </c>
    </row>
    <row r="18" spans="1:7" ht="95.25" customHeight="1" hidden="1">
      <c r="A18" s="10" t="s">
        <v>5</v>
      </c>
      <c r="B18" s="9" t="s">
        <v>8</v>
      </c>
      <c r="C18" s="9" t="s">
        <v>169</v>
      </c>
      <c r="D18" s="9" t="s">
        <v>6</v>
      </c>
      <c r="E18" s="20"/>
      <c r="F18" s="21"/>
      <c r="G18" s="21"/>
    </row>
    <row r="19" spans="1:7" ht="60" customHeight="1" hidden="1">
      <c r="A19" s="10" t="s">
        <v>9</v>
      </c>
      <c r="B19" s="9" t="s">
        <v>8</v>
      </c>
      <c r="C19" s="9" t="s">
        <v>169</v>
      </c>
      <c r="D19" s="9" t="s">
        <v>10</v>
      </c>
      <c r="E19" s="20"/>
      <c r="F19" s="20"/>
      <c r="G19" s="21"/>
    </row>
    <row r="20" spans="1:7" ht="55.5" customHeight="1" hidden="1">
      <c r="A20" s="10" t="s">
        <v>9</v>
      </c>
      <c r="B20" s="9" t="s">
        <v>8</v>
      </c>
      <c r="C20" s="9" t="s">
        <v>169</v>
      </c>
      <c r="D20" s="9" t="s">
        <v>13</v>
      </c>
      <c r="E20" s="21"/>
      <c r="F20" s="21"/>
      <c r="G20" s="21"/>
    </row>
    <row r="21" spans="1:7" ht="69" hidden="1">
      <c r="A21" s="11" t="s">
        <v>102</v>
      </c>
      <c r="B21" s="8" t="s">
        <v>8</v>
      </c>
      <c r="C21" s="8" t="s">
        <v>11</v>
      </c>
      <c r="D21" s="8" t="s">
        <v>0</v>
      </c>
      <c r="E21" s="20">
        <f>E22</f>
        <v>0</v>
      </c>
      <c r="F21" s="20">
        <f>F22</f>
        <v>0</v>
      </c>
      <c r="G21" s="20">
        <f>G22</f>
        <v>0</v>
      </c>
    </row>
    <row r="22" spans="1:7" ht="61.5" customHeight="1" hidden="1">
      <c r="A22" s="10" t="s">
        <v>12</v>
      </c>
      <c r="B22" s="9" t="s">
        <v>8</v>
      </c>
      <c r="C22" s="9" t="s">
        <v>11</v>
      </c>
      <c r="D22" s="9" t="s">
        <v>13</v>
      </c>
      <c r="E22" s="21"/>
      <c r="F22" s="21"/>
      <c r="G22" s="21"/>
    </row>
    <row r="23" spans="1:7" ht="138.75">
      <c r="A23" s="11" t="s">
        <v>14</v>
      </c>
      <c r="B23" s="8" t="s">
        <v>15</v>
      </c>
      <c r="C23" s="8" t="s">
        <v>0</v>
      </c>
      <c r="D23" s="8" t="s">
        <v>0</v>
      </c>
      <c r="E23" s="20">
        <f>E26+E36+E32+E24+E30</f>
        <v>24217374</v>
      </c>
      <c r="F23" s="20">
        <f>F26+F36+F32+F24+F30</f>
        <v>23182174</v>
      </c>
      <c r="G23" s="20">
        <f>G26+G36+G32+G24+G30</f>
        <v>23182174</v>
      </c>
    </row>
    <row r="24" spans="1:7" ht="116.25" customHeight="1">
      <c r="A24" s="11" t="s">
        <v>175</v>
      </c>
      <c r="B24" s="8" t="s">
        <v>15</v>
      </c>
      <c r="C24" s="8" t="s">
        <v>140</v>
      </c>
      <c r="D24" s="8"/>
      <c r="E24" s="20">
        <f>E25</f>
        <v>40000</v>
      </c>
      <c r="F24" s="20">
        <f>F25</f>
        <v>0</v>
      </c>
      <c r="G24" s="20">
        <f>G25</f>
        <v>0</v>
      </c>
    </row>
    <row r="25" spans="1:7" ht="54">
      <c r="A25" s="10" t="s">
        <v>9</v>
      </c>
      <c r="B25" s="9" t="s">
        <v>15</v>
      </c>
      <c r="C25" s="9" t="s">
        <v>140</v>
      </c>
      <c r="D25" s="9" t="s">
        <v>10</v>
      </c>
      <c r="E25" s="21">
        <f>40000</f>
        <v>40000</v>
      </c>
      <c r="F25" s="21"/>
      <c r="G25" s="21"/>
    </row>
    <row r="26" spans="1:7" ht="147" customHeight="1">
      <c r="A26" s="11" t="s">
        <v>176</v>
      </c>
      <c r="B26" s="8" t="s">
        <v>15</v>
      </c>
      <c r="C26" s="8" t="s">
        <v>134</v>
      </c>
      <c r="D26" s="8" t="s">
        <v>0</v>
      </c>
      <c r="E26" s="20">
        <f>E27+E28+E29</f>
        <v>22340974</v>
      </c>
      <c r="F26" s="20">
        <f>F27+F28+F29</f>
        <v>21456774</v>
      </c>
      <c r="G26" s="20">
        <f>G27+G28+G29</f>
        <v>0</v>
      </c>
    </row>
    <row r="27" spans="1:7" ht="126" customHeight="1">
      <c r="A27" s="10" t="s">
        <v>5</v>
      </c>
      <c r="B27" s="9" t="s">
        <v>15</v>
      </c>
      <c r="C27" s="9" t="s">
        <v>134</v>
      </c>
      <c r="D27" s="9" t="s">
        <v>6</v>
      </c>
      <c r="E27" s="21">
        <f>20684381</f>
        <v>20684381</v>
      </c>
      <c r="F27" s="21">
        <f>20684381</f>
        <v>20684381</v>
      </c>
      <c r="G27" s="21"/>
    </row>
    <row r="28" spans="1:7" ht="53.25" customHeight="1">
      <c r="A28" s="10" t="s">
        <v>9</v>
      </c>
      <c r="B28" s="9" t="s">
        <v>15</v>
      </c>
      <c r="C28" s="9" t="s">
        <v>134</v>
      </c>
      <c r="D28" s="9" t="s">
        <v>10</v>
      </c>
      <c r="E28" s="21">
        <f>1656593</f>
        <v>1656593</v>
      </c>
      <c r="F28" s="21">
        <f>772393</f>
        <v>772393</v>
      </c>
      <c r="G28" s="21"/>
    </row>
    <row r="29" spans="1:7" ht="35.25" customHeight="1" hidden="1">
      <c r="A29" s="10" t="s">
        <v>32</v>
      </c>
      <c r="B29" s="9" t="s">
        <v>15</v>
      </c>
      <c r="C29" s="9" t="s">
        <v>134</v>
      </c>
      <c r="D29" s="9" t="s">
        <v>33</v>
      </c>
      <c r="E29" s="21"/>
      <c r="F29" s="21"/>
      <c r="G29" s="21"/>
    </row>
    <row r="30" spans="1:7" ht="0" customHeight="1" hidden="1">
      <c r="A30" s="11" t="s">
        <v>151</v>
      </c>
      <c r="B30" s="8" t="s">
        <v>15</v>
      </c>
      <c r="C30" s="8" t="s">
        <v>152</v>
      </c>
      <c r="D30" s="8"/>
      <c r="E30" s="20">
        <f>E31</f>
        <v>0</v>
      </c>
      <c r="F30" s="20">
        <f>F31</f>
        <v>0</v>
      </c>
      <c r="G30" s="20">
        <f>G31</f>
        <v>0</v>
      </c>
    </row>
    <row r="31" spans="1:7" ht="54" hidden="1">
      <c r="A31" s="10" t="s">
        <v>9</v>
      </c>
      <c r="B31" s="9" t="s">
        <v>15</v>
      </c>
      <c r="C31" s="9" t="s">
        <v>152</v>
      </c>
      <c r="D31" s="9" t="s">
        <v>10</v>
      </c>
      <c r="E31" s="21"/>
      <c r="F31" s="21"/>
      <c r="G31" s="21"/>
    </row>
    <row r="32" spans="1:7" ht="87">
      <c r="A32" s="11" t="s">
        <v>100</v>
      </c>
      <c r="B32" s="8" t="s">
        <v>15</v>
      </c>
      <c r="C32" s="8" t="s">
        <v>133</v>
      </c>
      <c r="D32" s="8" t="s">
        <v>0</v>
      </c>
      <c r="E32" s="20">
        <f>SUM(E33:E34)</f>
        <v>0</v>
      </c>
      <c r="F32" s="20">
        <f>SUM(F33:F34)</f>
        <v>0</v>
      </c>
      <c r="G32" s="20">
        <f>SUM(G33:G35)</f>
        <v>21456774</v>
      </c>
    </row>
    <row r="33" spans="1:7" ht="144">
      <c r="A33" s="10" t="s">
        <v>5</v>
      </c>
      <c r="B33" s="9" t="s">
        <v>15</v>
      </c>
      <c r="C33" s="9" t="s">
        <v>133</v>
      </c>
      <c r="D33" s="9" t="s">
        <v>6</v>
      </c>
      <c r="E33" s="19"/>
      <c r="F33" s="21"/>
      <c r="G33" s="21">
        <f>20684381</f>
        <v>20684381</v>
      </c>
    </row>
    <row r="34" spans="1:7" ht="54" customHeight="1">
      <c r="A34" s="10" t="s">
        <v>9</v>
      </c>
      <c r="B34" s="9" t="s">
        <v>15</v>
      </c>
      <c r="C34" s="9" t="s">
        <v>133</v>
      </c>
      <c r="D34" s="9" t="s">
        <v>10</v>
      </c>
      <c r="E34" s="19"/>
      <c r="F34" s="21"/>
      <c r="G34" s="21">
        <f>772393</f>
        <v>772393</v>
      </c>
    </row>
    <row r="35" spans="1:7" ht="18" hidden="1">
      <c r="A35" s="10" t="s">
        <v>12</v>
      </c>
      <c r="B35" s="9" t="s">
        <v>15</v>
      </c>
      <c r="C35" s="9" t="s">
        <v>133</v>
      </c>
      <c r="D35" s="9" t="s">
        <v>13</v>
      </c>
      <c r="E35" s="19"/>
      <c r="F35" s="21"/>
      <c r="G35" s="21"/>
    </row>
    <row r="36" spans="1:7" ht="69">
      <c r="A36" s="11" t="s">
        <v>102</v>
      </c>
      <c r="B36" s="8" t="s">
        <v>15</v>
      </c>
      <c r="C36" s="8" t="s">
        <v>135</v>
      </c>
      <c r="D36" s="8" t="s">
        <v>0</v>
      </c>
      <c r="E36" s="20">
        <f>SUM(E37:E40)</f>
        <v>1836400</v>
      </c>
      <c r="F36" s="20">
        <f>SUM(F37:F40)</f>
        <v>1725400</v>
      </c>
      <c r="G36" s="20">
        <f>SUM(G37:G40)</f>
        <v>1725400</v>
      </c>
    </row>
    <row r="37" spans="1:7" ht="126" customHeight="1">
      <c r="A37" s="10" t="s">
        <v>5</v>
      </c>
      <c r="B37" s="9" t="s">
        <v>15</v>
      </c>
      <c r="C37" s="9" t="s">
        <v>135</v>
      </c>
      <c r="D37" s="9" t="s">
        <v>6</v>
      </c>
      <c r="E37" s="21">
        <f>369000+820300+382200+264900</f>
        <v>1836400</v>
      </c>
      <c r="F37" s="21">
        <f>332800+745500+382200+264900</f>
        <v>1725400</v>
      </c>
      <c r="G37" s="21">
        <f>332800+745500+382200+264900</f>
        <v>1725400</v>
      </c>
    </row>
    <row r="38" spans="1:7" ht="54" hidden="1">
      <c r="A38" s="10" t="s">
        <v>9</v>
      </c>
      <c r="B38" s="9" t="s">
        <v>15</v>
      </c>
      <c r="C38" s="9" t="s">
        <v>135</v>
      </c>
      <c r="D38" s="9" t="s">
        <v>10</v>
      </c>
      <c r="E38" s="21"/>
      <c r="F38" s="21"/>
      <c r="G38" s="21"/>
    </row>
    <row r="39" spans="1:7" ht="0" customHeight="1" hidden="1">
      <c r="A39" s="10" t="s">
        <v>32</v>
      </c>
      <c r="B39" s="9" t="s">
        <v>15</v>
      </c>
      <c r="C39" s="9" t="s">
        <v>135</v>
      </c>
      <c r="D39" s="9" t="s">
        <v>33</v>
      </c>
      <c r="E39" s="21"/>
      <c r="F39" s="21"/>
      <c r="G39" s="21"/>
    </row>
    <row r="40" spans="1:7" ht="18" hidden="1">
      <c r="A40" s="10" t="s">
        <v>12</v>
      </c>
      <c r="B40" s="9" t="s">
        <v>15</v>
      </c>
      <c r="C40" s="9" t="s">
        <v>135</v>
      </c>
      <c r="D40" s="9" t="s">
        <v>13</v>
      </c>
      <c r="E40" s="21"/>
      <c r="F40" s="21"/>
      <c r="G40" s="21"/>
    </row>
    <row r="41" spans="1:7" ht="24" customHeight="1">
      <c r="A41" s="11" t="s">
        <v>147</v>
      </c>
      <c r="B41" s="8" t="s">
        <v>148</v>
      </c>
      <c r="C41" s="9"/>
      <c r="D41" s="9"/>
      <c r="E41" s="20">
        <f aca="true" t="shared" si="1" ref="E41:G42">E42</f>
        <v>3200</v>
      </c>
      <c r="F41" s="20">
        <f t="shared" si="1"/>
        <v>5200</v>
      </c>
      <c r="G41" s="20">
        <f t="shared" si="1"/>
        <v>59000</v>
      </c>
    </row>
    <row r="42" spans="1:7" ht="69">
      <c r="A42" s="11" t="s">
        <v>101</v>
      </c>
      <c r="B42" s="8" t="s">
        <v>148</v>
      </c>
      <c r="C42" s="8" t="s">
        <v>149</v>
      </c>
      <c r="D42" s="9"/>
      <c r="E42" s="20">
        <f t="shared" si="1"/>
        <v>3200</v>
      </c>
      <c r="F42" s="20">
        <f t="shared" si="1"/>
        <v>5200</v>
      </c>
      <c r="G42" s="20">
        <f t="shared" si="1"/>
        <v>59000</v>
      </c>
    </row>
    <row r="43" spans="1:7" ht="54">
      <c r="A43" s="10" t="s">
        <v>9</v>
      </c>
      <c r="B43" s="9" t="s">
        <v>148</v>
      </c>
      <c r="C43" s="9" t="s">
        <v>149</v>
      </c>
      <c r="D43" s="9" t="s">
        <v>10</v>
      </c>
      <c r="E43" s="21">
        <f>3200</f>
        <v>3200</v>
      </c>
      <c r="F43" s="21">
        <f>5200</f>
        <v>5200</v>
      </c>
      <c r="G43" s="21">
        <f>59000</f>
        <v>59000</v>
      </c>
    </row>
    <row r="44" spans="1:7" ht="101.25" customHeight="1">
      <c r="A44" s="11" t="s">
        <v>16</v>
      </c>
      <c r="B44" s="8" t="s">
        <v>17</v>
      </c>
      <c r="C44" s="8" t="s">
        <v>0</v>
      </c>
      <c r="D44" s="8" t="s">
        <v>0</v>
      </c>
      <c r="E44" s="20">
        <f>E45+E54+E50</f>
        <v>10116543</v>
      </c>
      <c r="F44" s="20">
        <f>F45+F54+F50</f>
        <v>9107203</v>
      </c>
      <c r="G44" s="20">
        <f>G45+G54+G50</f>
        <v>9107203</v>
      </c>
    </row>
    <row r="45" spans="1:7" ht="138.75">
      <c r="A45" s="11" t="s">
        <v>177</v>
      </c>
      <c r="B45" s="8" t="s">
        <v>17</v>
      </c>
      <c r="C45" s="8" t="s">
        <v>136</v>
      </c>
      <c r="D45" s="8" t="s">
        <v>0</v>
      </c>
      <c r="E45" s="20">
        <f>SUM(E46:E49)</f>
        <v>10116543</v>
      </c>
      <c r="F45" s="20">
        <f>SUM(F46:F49)</f>
        <v>9107203</v>
      </c>
      <c r="G45" s="20">
        <f>SUM(G46:G49)</f>
        <v>0</v>
      </c>
    </row>
    <row r="46" spans="1:7" ht="131.25" customHeight="1">
      <c r="A46" s="10" t="s">
        <v>5</v>
      </c>
      <c r="B46" s="9" t="s">
        <v>17</v>
      </c>
      <c r="C46" s="9" t="s">
        <v>136</v>
      </c>
      <c r="D46" s="9" t="s">
        <v>6</v>
      </c>
      <c r="E46" s="21">
        <f>8982220+527608</f>
        <v>9509828</v>
      </c>
      <c r="F46" s="21">
        <f>8982220</f>
        <v>8982220</v>
      </c>
      <c r="G46" s="21"/>
    </row>
    <row r="47" spans="1:7" ht="54">
      <c r="A47" s="10" t="s">
        <v>9</v>
      </c>
      <c r="B47" s="9" t="s">
        <v>17</v>
      </c>
      <c r="C47" s="9" t="s">
        <v>136</v>
      </c>
      <c r="D47" s="9" t="s">
        <v>10</v>
      </c>
      <c r="E47" s="21">
        <f>530219+70996</f>
        <v>601215</v>
      </c>
      <c r="F47" s="21">
        <f>119483</f>
        <v>119483</v>
      </c>
      <c r="G47" s="21"/>
    </row>
    <row r="48" spans="1:7" ht="36" hidden="1">
      <c r="A48" s="10" t="s">
        <v>32</v>
      </c>
      <c r="B48" s="9" t="s">
        <v>17</v>
      </c>
      <c r="C48" s="9" t="s">
        <v>136</v>
      </c>
      <c r="D48" s="9" t="s">
        <v>33</v>
      </c>
      <c r="E48" s="21"/>
      <c r="F48" s="21"/>
      <c r="G48" s="21"/>
    </row>
    <row r="49" spans="1:7" ht="22.5" customHeight="1">
      <c r="A49" s="10" t="s">
        <v>12</v>
      </c>
      <c r="B49" s="9" t="s">
        <v>17</v>
      </c>
      <c r="C49" s="9" t="s">
        <v>136</v>
      </c>
      <c r="D49" s="9" t="s">
        <v>13</v>
      </c>
      <c r="E49" s="21">
        <f>5500</f>
        <v>5500</v>
      </c>
      <c r="F49" s="21">
        <f>5500</f>
        <v>5500</v>
      </c>
      <c r="G49" s="21"/>
    </row>
    <row r="50" spans="1:7" ht="87">
      <c r="A50" s="11" t="s">
        <v>100</v>
      </c>
      <c r="B50" s="8" t="s">
        <v>17</v>
      </c>
      <c r="C50" s="8" t="s">
        <v>133</v>
      </c>
      <c r="D50" s="8"/>
      <c r="E50" s="20">
        <f>E51+E52+E53</f>
        <v>0</v>
      </c>
      <c r="F50" s="20">
        <f>F51+F52+F53</f>
        <v>0</v>
      </c>
      <c r="G50" s="20">
        <f>G51+G52+G53</f>
        <v>9107203</v>
      </c>
    </row>
    <row r="51" spans="1:7" ht="144">
      <c r="A51" s="10" t="s">
        <v>5</v>
      </c>
      <c r="B51" s="9" t="s">
        <v>17</v>
      </c>
      <c r="C51" s="9" t="s">
        <v>133</v>
      </c>
      <c r="D51" s="9" t="s">
        <v>6</v>
      </c>
      <c r="E51" s="21"/>
      <c r="F51" s="21"/>
      <c r="G51" s="21">
        <f>8982220</f>
        <v>8982220</v>
      </c>
    </row>
    <row r="52" spans="1:7" ht="54">
      <c r="A52" s="10" t="s">
        <v>9</v>
      </c>
      <c r="B52" s="9" t="s">
        <v>17</v>
      </c>
      <c r="C52" s="9" t="s">
        <v>133</v>
      </c>
      <c r="D52" s="9" t="s">
        <v>10</v>
      </c>
      <c r="E52" s="21"/>
      <c r="F52" s="21"/>
      <c r="G52" s="21">
        <f>119483</f>
        <v>119483</v>
      </c>
    </row>
    <row r="53" spans="1:7" ht="15.75" customHeight="1">
      <c r="A53" s="10" t="s">
        <v>12</v>
      </c>
      <c r="B53" s="9" t="s">
        <v>17</v>
      </c>
      <c r="C53" s="9" t="s">
        <v>133</v>
      </c>
      <c r="D53" s="9" t="s">
        <v>13</v>
      </c>
      <c r="E53" s="21"/>
      <c r="F53" s="21"/>
      <c r="G53" s="21">
        <v>5500</v>
      </c>
    </row>
    <row r="54" spans="1:7" ht="69" hidden="1">
      <c r="A54" s="11" t="s">
        <v>102</v>
      </c>
      <c r="B54" s="8" t="s">
        <v>17</v>
      </c>
      <c r="C54" s="8" t="s">
        <v>135</v>
      </c>
      <c r="D54" s="8" t="s">
        <v>0</v>
      </c>
      <c r="E54" s="20">
        <f>SUM(E55:E57)</f>
        <v>0</v>
      </c>
      <c r="F54" s="20">
        <f>SUM(F55:F57)</f>
        <v>0</v>
      </c>
      <c r="G54" s="20">
        <f>SUM(G55:G57)</f>
        <v>0</v>
      </c>
    </row>
    <row r="55" spans="1:7" ht="144" hidden="1">
      <c r="A55" s="10" t="s">
        <v>5</v>
      </c>
      <c r="B55" s="9" t="s">
        <v>17</v>
      </c>
      <c r="C55" s="9" t="s">
        <v>11</v>
      </c>
      <c r="D55" s="9" t="s">
        <v>6</v>
      </c>
      <c r="E55" s="21"/>
      <c r="F55" s="21"/>
      <c r="G55" s="21"/>
    </row>
    <row r="56" spans="1:7" ht="54" hidden="1">
      <c r="A56" s="10" t="s">
        <v>9</v>
      </c>
      <c r="B56" s="9" t="s">
        <v>17</v>
      </c>
      <c r="C56" s="9" t="s">
        <v>11</v>
      </c>
      <c r="D56" s="9" t="s">
        <v>10</v>
      </c>
      <c r="E56" s="21"/>
      <c r="F56" s="21"/>
      <c r="G56" s="21"/>
    </row>
    <row r="57" spans="1:7" ht="18" hidden="1">
      <c r="A57" s="10" t="s">
        <v>12</v>
      </c>
      <c r="B57" s="9" t="s">
        <v>17</v>
      </c>
      <c r="C57" s="9" t="s">
        <v>135</v>
      </c>
      <c r="D57" s="9" t="s">
        <v>13</v>
      </c>
      <c r="E57" s="21"/>
      <c r="F57" s="21"/>
      <c r="G57" s="21"/>
    </row>
    <row r="58" spans="1:7" ht="33.75" customHeight="1" hidden="1">
      <c r="A58" s="11" t="s">
        <v>18</v>
      </c>
      <c r="B58" s="8" t="s">
        <v>19</v>
      </c>
      <c r="C58" s="8" t="s">
        <v>135</v>
      </c>
      <c r="D58" s="8" t="s">
        <v>0</v>
      </c>
      <c r="E58" s="20">
        <f>E59</f>
        <v>0</v>
      </c>
      <c r="F58" s="20">
        <f>F59</f>
        <v>0</v>
      </c>
      <c r="G58" s="20">
        <f>G59</f>
        <v>0</v>
      </c>
    </row>
    <row r="59" spans="1:7" ht="69" hidden="1">
      <c r="A59" s="11" t="s">
        <v>102</v>
      </c>
      <c r="B59" s="8" t="s">
        <v>19</v>
      </c>
      <c r="C59" s="8" t="s">
        <v>135</v>
      </c>
      <c r="D59" s="8" t="s">
        <v>0</v>
      </c>
      <c r="E59" s="20">
        <f>E60+E61</f>
        <v>0</v>
      </c>
      <c r="F59" s="20">
        <f>F60+F61</f>
        <v>0</v>
      </c>
      <c r="G59" s="20">
        <f>G60+G61</f>
        <v>0</v>
      </c>
    </row>
    <row r="60" spans="1:7" ht="54" hidden="1">
      <c r="A60" s="10" t="s">
        <v>9</v>
      </c>
      <c r="B60" s="9" t="s">
        <v>19</v>
      </c>
      <c r="C60" s="9" t="s">
        <v>135</v>
      </c>
      <c r="D60" s="9" t="s">
        <v>10</v>
      </c>
      <c r="E60" s="21"/>
      <c r="F60" s="21"/>
      <c r="G60" s="21"/>
    </row>
    <row r="61" spans="1:7" ht="18" hidden="1">
      <c r="A61" s="10" t="s">
        <v>12</v>
      </c>
      <c r="B61" s="9" t="s">
        <v>19</v>
      </c>
      <c r="C61" s="9" t="s">
        <v>135</v>
      </c>
      <c r="D61" s="9" t="s">
        <v>13</v>
      </c>
      <c r="E61" s="21"/>
      <c r="F61" s="21"/>
      <c r="G61" s="21"/>
    </row>
    <row r="62" spans="1:7" ht="19.5" customHeight="1">
      <c r="A62" s="11" t="s">
        <v>20</v>
      </c>
      <c r="B62" s="8" t="s">
        <v>21</v>
      </c>
      <c r="C62" s="8"/>
      <c r="D62" s="8" t="s">
        <v>0</v>
      </c>
      <c r="E62" s="20">
        <f aca="true" t="shared" si="2" ref="E62:G63">E63</f>
        <v>150000</v>
      </c>
      <c r="F62" s="20">
        <f t="shared" si="2"/>
        <v>150000</v>
      </c>
      <c r="G62" s="20">
        <f t="shared" si="2"/>
        <v>150000</v>
      </c>
    </row>
    <row r="63" spans="1:7" ht="77.25" customHeight="1">
      <c r="A63" s="11" t="s">
        <v>102</v>
      </c>
      <c r="B63" s="8" t="s">
        <v>21</v>
      </c>
      <c r="C63" s="8" t="s">
        <v>135</v>
      </c>
      <c r="D63" s="8" t="s">
        <v>0</v>
      </c>
      <c r="E63" s="20">
        <f t="shared" si="2"/>
        <v>150000</v>
      </c>
      <c r="F63" s="20">
        <f t="shared" si="2"/>
        <v>150000</v>
      </c>
      <c r="G63" s="20">
        <f t="shared" si="2"/>
        <v>150000</v>
      </c>
    </row>
    <row r="64" spans="1:7" ht="18">
      <c r="A64" s="10" t="s">
        <v>12</v>
      </c>
      <c r="B64" s="9" t="s">
        <v>21</v>
      </c>
      <c r="C64" s="9" t="s">
        <v>135</v>
      </c>
      <c r="D64" s="9" t="s">
        <v>13</v>
      </c>
      <c r="E64" s="21">
        <v>150000</v>
      </c>
      <c r="F64" s="21">
        <v>150000</v>
      </c>
      <c r="G64" s="21">
        <v>150000</v>
      </c>
    </row>
    <row r="65" spans="1:7" ht="42" customHeight="1">
      <c r="A65" s="11" t="s">
        <v>22</v>
      </c>
      <c r="B65" s="8" t="s">
        <v>23</v>
      </c>
      <c r="C65" s="8" t="s">
        <v>0</v>
      </c>
      <c r="D65" s="8" t="s">
        <v>0</v>
      </c>
      <c r="E65" s="20">
        <f>E66+E71+E74+E78+E82</f>
        <v>26698849</v>
      </c>
      <c r="F65" s="20">
        <f>F66+F71+F74+F78+F82</f>
        <v>40874450</v>
      </c>
      <c r="G65" s="20">
        <f>G66+G71+G74+G78+G82</f>
        <v>44874450</v>
      </c>
    </row>
    <row r="66" spans="1:7" ht="150" customHeight="1">
      <c r="A66" s="11" t="s">
        <v>176</v>
      </c>
      <c r="B66" s="8" t="s">
        <v>23</v>
      </c>
      <c r="C66" s="8" t="s">
        <v>134</v>
      </c>
      <c r="D66" s="8" t="s">
        <v>0</v>
      </c>
      <c r="E66" s="20">
        <f>SUM(E67:E70)</f>
        <v>17446101</v>
      </c>
      <c r="F66" s="20">
        <f>SUM(F67:F70)</f>
        <v>17739251</v>
      </c>
      <c r="G66" s="20">
        <f>SUM(G67:G70)</f>
        <v>0</v>
      </c>
    </row>
    <row r="67" spans="1:7" ht="126" customHeight="1">
      <c r="A67" s="10" t="s">
        <v>5</v>
      </c>
      <c r="B67" s="9" t="s">
        <v>23</v>
      </c>
      <c r="C67" s="9" t="s">
        <v>134</v>
      </c>
      <c r="D67" s="9" t="s">
        <v>6</v>
      </c>
      <c r="E67" s="21">
        <f>12884389</f>
        <v>12884389</v>
      </c>
      <c r="F67" s="21">
        <f>12884389</f>
        <v>12884389</v>
      </c>
      <c r="G67" s="21"/>
    </row>
    <row r="68" spans="1:7" ht="56.25" customHeight="1">
      <c r="A68" s="10" t="s">
        <v>9</v>
      </c>
      <c r="B68" s="9" t="s">
        <v>23</v>
      </c>
      <c r="C68" s="9" t="s">
        <v>134</v>
      </c>
      <c r="D68" s="9" t="s">
        <v>10</v>
      </c>
      <c r="E68" s="21">
        <f>4501712</f>
        <v>4501712</v>
      </c>
      <c r="F68" s="21">
        <f>4804862</f>
        <v>4804862</v>
      </c>
      <c r="G68" s="21"/>
    </row>
    <row r="69" spans="1:7" ht="36" hidden="1">
      <c r="A69" s="10" t="s">
        <v>32</v>
      </c>
      <c r="B69" s="9" t="s">
        <v>23</v>
      </c>
      <c r="C69" s="9" t="s">
        <v>134</v>
      </c>
      <c r="D69" s="9" t="s">
        <v>33</v>
      </c>
      <c r="E69" s="21"/>
      <c r="F69" s="21"/>
      <c r="G69" s="21"/>
    </row>
    <row r="70" spans="1:7" ht="28.5" customHeight="1">
      <c r="A70" s="10" t="s">
        <v>12</v>
      </c>
      <c r="B70" s="9" t="s">
        <v>23</v>
      </c>
      <c r="C70" s="9" t="s">
        <v>134</v>
      </c>
      <c r="D70" s="9" t="s">
        <v>13</v>
      </c>
      <c r="E70" s="21">
        <f>60000</f>
        <v>60000</v>
      </c>
      <c r="F70" s="21">
        <v>50000</v>
      </c>
      <c r="G70" s="21"/>
    </row>
    <row r="71" spans="1:7" ht="126.75" customHeight="1">
      <c r="A71" s="11" t="s">
        <v>178</v>
      </c>
      <c r="B71" s="8" t="s">
        <v>23</v>
      </c>
      <c r="C71" s="8" t="s">
        <v>137</v>
      </c>
      <c r="D71" s="8"/>
      <c r="E71" s="20">
        <f>E72+E73</f>
        <v>517139</v>
      </c>
      <c r="F71" s="20">
        <f>F72+F73</f>
        <v>0</v>
      </c>
      <c r="G71" s="20">
        <f>G72+G73</f>
        <v>0</v>
      </c>
    </row>
    <row r="72" spans="1:7" ht="57" customHeight="1">
      <c r="A72" s="10" t="s">
        <v>9</v>
      </c>
      <c r="B72" s="9" t="s">
        <v>23</v>
      </c>
      <c r="C72" s="9" t="s">
        <v>137</v>
      </c>
      <c r="D72" s="9" t="s">
        <v>10</v>
      </c>
      <c r="E72" s="21">
        <v>517139</v>
      </c>
      <c r="F72" s="21"/>
      <c r="G72" s="21"/>
    </row>
    <row r="73" spans="1:7" ht="18" hidden="1">
      <c r="A73" s="10" t="s">
        <v>12</v>
      </c>
      <c r="B73" s="9" t="s">
        <v>23</v>
      </c>
      <c r="C73" s="9" t="s">
        <v>207</v>
      </c>
      <c r="D73" s="9" t="s">
        <v>13</v>
      </c>
      <c r="E73" s="21"/>
      <c r="F73" s="21"/>
      <c r="G73" s="21"/>
    </row>
    <row r="74" spans="1:7" ht="144.75" customHeight="1">
      <c r="A74" s="11" t="s">
        <v>179</v>
      </c>
      <c r="B74" s="8" t="s">
        <v>23</v>
      </c>
      <c r="C74" s="8" t="s">
        <v>161</v>
      </c>
      <c r="D74" s="8"/>
      <c r="E74" s="20">
        <f>SUM(E75:E77)</f>
        <v>7956449</v>
      </c>
      <c r="F74" s="20">
        <f>SUM(F75:F77)</f>
        <v>7376399</v>
      </c>
      <c r="G74" s="20">
        <f>SUM(G75:G77)</f>
        <v>0</v>
      </c>
    </row>
    <row r="75" spans="1:7" ht="155.25" customHeight="1">
      <c r="A75" s="10" t="s">
        <v>5</v>
      </c>
      <c r="B75" s="9" t="s">
        <v>23</v>
      </c>
      <c r="C75" s="9" t="s">
        <v>161</v>
      </c>
      <c r="D75" s="9" t="s">
        <v>6</v>
      </c>
      <c r="E75" s="21">
        <f>7095137</f>
        <v>7095137</v>
      </c>
      <c r="F75" s="21">
        <v>7095137</v>
      </c>
      <c r="G75" s="21"/>
    </row>
    <row r="76" spans="1:7" ht="51" customHeight="1">
      <c r="A76" s="10" t="s">
        <v>9</v>
      </c>
      <c r="B76" s="9" t="s">
        <v>23</v>
      </c>
      <c r="C76" s="9" t="s">
        <v>161</v>
      </c>
      <c r="D76" s="9" t="s">
        <v>10</v>
      </c>
      <c r="E76" s="21">
        <f>861312</f>
        <v>861312</v>
      </c>
      <c r="F76" s="21">
        <f>281262</f>
        <v>281262</v>
      </c>
      <c r="G76" s="21"/>
    </row>
    <row r="77" spans="1:7" ht="18" hidden="1">
      <c r="A77" s="10" t="s">
        <v>12</v>
      </c>
      <c r="B77" s="9" t="s">
        <v>23</v>
      </c>
      <c r="C77" s="9" t="s">
        <v>161</v>
      </c>
      <c r="D77" s="9" t="s">
        <v>13</v>
      </c>
      <c r="E77" s="21"/>
      <c r="F77" s="21"/>
      <c r="G77" s="21"/>
    </row>
    <row r="78" spans="1:7" ht="85.5" customHeight="1">
      <c r="A78" s="11" t="s">
        <v>100</v>
      </c>
      <c r="B78" s="8" t="s">
        <v>23</v>
      </c>
      <c r="C78" s="8" t="s">
        <v>133</v>
      </c>
      <c r="D78" s="8" t="s">
        <v>0</v>
      </c>
      <c r="E78" s="20">
        <f>E79+E80+E81</f>
        <v>0</v>
      </c>
      <c r="F78" s="20">
        <f>F79+F80+F81</f>
        <v>0</v>
      </c>
      <c r="G78" s="20">
        <f>G79+G80+G81</f>
        <v>2217249</v>
      </c>
    </row>
    <row r="79" spans="1:7" ht="144" hidden="1">
      <c r="A79" s="10" t="s">
        <v>5</v>
      </c>
      <c r="B79" s="9" t="s">
        <v>23</v>
      </c>
      <c r="C79" s="9" t="s">
        <v>133</v>
      </c>
      <c r="D79" s="9" t="s">
        <v>6</v>
      </c>
      <c r="E79" s="21"/>
      <c r="F79" s="21"/>
      <c r="G79" s="21"/>
    </row>
    <row r="80" spans="1:7" ht="57" customHeight="1">
      <c r="A80" s="10" t="s">
        <v>9</v>
      </c>
      <c r="B80" s="9" t="s">
        <v>23</v>
      </c>
      <c r="C80" s="9" t="s">
        <v>133</v>
      </c>
      <c r="D80" s="9" t="s">
        <v>10</v>
      </c>
      <c r="E80" s="21"/>
      <c r="F80" s="21"/>
      <c r="G80" s="21">
        <f>28374+2188875</f>
        <v>2217249</v>
      </c>
    </row>
    <row r="81" spans="1:7" ht="18" hidden="1">
      <c r="A81" s="10" t="s">
        <v>12</v>
      </c>
      <c r="B81" s="9" t="s">
        <v>23</v>
      </c>
      <c r="C81" s="9" t="s">
        <v>133</v>
      </c>
      <c r="D81" s="9" t="s">
        <v>13</v>
      </c>
      <c r="E81" s="21"/>
      <c r="F81" s="21"/>
      <c r="G81" s="21"/>
    </row>
    <row r="82" spans="1:7" ht="69">
      <c r="A82" s="11" t="s">
        <v>101</v>
      </c>
      <c r="B82" s="8" t="s">
        <v>23</v>
      </c>
      <c r="C82" s="8" t="s">
        <v>135</v>
      </c>
      <c r="D82" s="8" t="s">
        <v>0</v>
      </c>
      <c r="E82" s="20">
        <f>E83+E84+E85+E86+E87+E88</f>
        <v>779160</v>
      </c>
      <c r="F82" s="20">
        <f>F83+F84+F85+F86+F87+F88</f>
        <v>15758800</v>
      </c>
      <c r="G82" s="20">
        <f>SUM(G83:G88)</f>
        <v>42657201</v>
      </c>
    </row>
    <row r="83" spans="1:7" ht="129" customHeight="1">
      <c r="A83" s="10" t="s">
        <v>5</v>
      </c>
      <c r="B83" s="9" t="s">
        <v>23</v>
      </c>
      <c r="C83" s="9" t="s">
        <v>135</v>
      </c>
      <c r="D83" s="9" t="s">
        <v>6</v>
      </c>
      <c r="E83" s="21">
        <f>715300+5712+1725</f>
        <v>722737</v>
      </c>
      <c r="F83" s="21">
        <f>741300+5712+1725</f>
        <v>748737</v>
      </c>
      <c r="G83" s="21">
        <f>12884389+7095137+741300+5712+1725</f>
        <v>20728263</v>
      </c>
    </row>
    <row r="84" spans="1:7" ht="56.25" customHeight="1">
      <c r="A84" s="10" t="s">
        <v>9</v>
      </c>
      <c r="B84" s="9" t="s">
        <v>23</v>
      </c>
      <c r="C84" s="9" t="s">
        <v>135</v>
      </c>
      <c r="D84" s="9" t="s">
        <v>10</v>
      </c>
      <c r="E84" s="21">
        <f>8988+2975</f>
        <v>11963</v>
      </c>
      <c r="F84" s="21">
        <f>7088+2975</f>
        <v>10063</v>
      </c>
      <c r="G84" s="21">
        <f>4776488+281262+7088+2975-2188875</f>
        <v>2878938</v>
      </c>
    </row>
    <row r="85" spans="1:7" ht="61.5" customHeight="1" hidden="1">
      <c r="A85" s="10" t="s">
        <v>32</v>
      </c>
      <c r="B85" s="9" t="s">
        <v>23</v>
      </c>
      <c r="C85" s="9" t="s">
        <v>11</v>
      </c>
      <c r="D85" s="9" t="s">
        <v>33</v>
      </c>
      <c r="E85" s="21"/>
      <c r="F85" s="21"/>
      <c r="G85" s="21"/>
    </row>
    <row r="86" spans="1:7" ht="51" customHeight="1" hidden="1">
      <c r="A86" s="10" t="s">
        <v>24</v>
      </c>
      <c r="B86" s="9" t="s">
        <v>23</v>
      </c>
      <c r="C86" s="9" t="s">
        <v>11</v>
      </c>
      <c r="D86" s="9" t="s">
        <v>25</v>
      </c>
      <c r="E86" s="21"/>
      <c r="F86" s="21"/>
      <c r="G86" s="21"/>
    </row>
    <row r="87" spans="1:7" ht="39.75" customHeight="1" hidden="1">
      <c r="A87" s="10" t="s">
        <v>26</v>
      </c>
      <c r="B87" s="9" t="s">
        <v>23</v>
      </c>
      <c r="C87" s="9" t="s">
        <v>135</v>
      </c>
      <c r="D87" s="9" t="s">
        <v>27</v>
      </c>
      <c r="E87" s="21"/>
      <c r="F87" s="21"/>
      <c r="G87" s="21"/>
    </row>
    <row r="88" spans="1:7" ht="27.75" customHeight="1">
      <c r="A88" s="10" t="s">
        <v>12</v>
      </c>
      <c r="B88" s="9" t="s">
        <v>23</v>
      </c>
      <c r="C88" s="9" t="s">
        <v>135</v>
      </c>
      <c r="D88" s="9" t="s">
        <v>13</v>
      </c>
      <c r="E88" s="21">
        <v>44460</v>
      </c>
      <c r="F88" s="21">
        <f>15000000</f>
        <v>15000000</v>
      </c>
      <c r="G88" s="21">
        <f>50000+19000000</f>
        <v>19050000</v>
      </c>
    </row>
    <row r="89" spans="1:7" s="18" customFormat="1" ht="69">
      <c r="A89" s="11" t="s">
        <v>119</v>
      </c>
      <c r="B89" s="8" t="s">
        <v>121</v>
      </c>
      <c r="C89" s="9"/>
      <c r="D89" s="9"/>
      <c r="E89" s="20">
        <f>E93+E96+E90</f>
        <v>597168</v>
      </c>
      <c r="F89" s="20">
        <f>F93+F96+F90</f>
        <v>1164337</v>
      </c>
      <c r="G89" s="20">
        <f>G93+G96+G90</f>
        <v>1164337</v>
      </c>
    </row>
    <row r="90" spans="1:7" s="18" customFormat="1" ht="18">
      <c r="A90" s="11" t="s">
        <v>208</v>
      </c>
      <c r="B90" s="8" t="s">
        <v>206</v>
      </c>
      <c r="C90" s="9"/>
      <c r="D90" s="9"/>
      <c r="E90" s="20">
        <f aca="true" t="shared" si="3" ref="E90:G91">E91</f>
        <v>190578</v>
      </c>
      <c r="F90" s="20">
        <f t="shared" si="3"/>
        <v>381156</v>
      </c>
      <c r="G90" s="20">
        <f t="shared" si="3"/>
        <v>381156</v>
      </c>
    </row>
    <row r="91" spans="1:7" s="18" customFormat="1" ht="69">
      <c r="A91" s="11" t="s">
        <v>101</v>
      </c>
      <c r="B91" s="8" t="s">
        <v>206</v>
      </c>
      <c r="C91" s="8" t="s">
        <v>135</v>
      </c>
      <c r="D91" s="8" t="s">
        <v>0</v>
      </c>
      <c r="E91" s="20">
        <f t="shared" si="3"/>
        <v>190578</v>
      </c>
      <c r="F91" s="20">
        <f t="shared" si="3"/>
        <v>381156</v>
      </c>
      <c r="G91" s="20">
        <f t="shared" si="3"/>
        <v>381156</v>
      </c>
    </row>
    <row r="92" spans="1:7" s="18" customFormat="1" ht="54">
      <c r="A92" s="10" t="s">
        <v>9</v>
      </c>
      <c r="B92" s="9" t="s">
        <v>206</v>
      </c>
      <c r="C92" s="9" t="s">
        <v>135</v>
      </c>
      <c r="D92" s="9" t="s">
        <v>10</v>
      </c>
      <c r="E92" s="21">
        <f>190578</f>
        <v>190578</v>
      </c>
      <c r="F92" s="21">
        <f>381156</f>
        <v>381156</v>
      </c>
      <c r="G92" s="21">
        <f>381156</f>
        <v>381156</v>
      </c>
    </row>
    <row r="93" spans="1:7" ht="90" customHeight="1">
      <c r="A93" s="11" t="s">
        <v>199</v>
      </c>
      <c r="B93" s="8" t="s">
        <v>200</v>
      </c>
      <c r="C93" s="9"/>
      <c r="D93" s="9"/>
      <c r="E93" s="20">
        <f aca="true" t="shared" si="4" ref="E93:G94">E94</f>
        <v>391590</v>
      </c>
      <c r="F93" s="20">
        <f t="shared" si="4"/>
        <v>783181</v>
      </c>
      <c r="G93" s="20">
        <f t="shared" si="4"/>
        <v>783181</v>
      </c>
    </row>
    <row r="94" spans="1:7" ht="81.75" customHeight="1">
      <c r="A94" s="11" t="s">
        <v>101</v>
      </c>
      <c r="B94" s="8" t="s">
        <v>200</v>
      </c>
      <c r="C94" s="8" t="s">
        <v>135</v>
      </c>
      <c r="D94" s="8" t="s">
        <v>0</v>
      </c>
      <c r="E94" s="20">
        <f t="shared" si="4"/>
        <v>391590</v>
      </c>
      <c r="F94" s="20">
        <f t="shared" si="4"/>
        <v>783181</v>
      </c>
      <c r="G94" s="20">
        <f t="shared" si="4"/>
        <v>783181</v>
      </c>
    </row>
    <row r="95" spans="1:7" ht="54">
      <c r="A95" s="10" t="s">
        <v>9</v>
      </c>
      <c r="B95" s="9" t="s">
        <v>200</v>
      </c>
      <c r="C95" s="9" t="s">
        <v>135</v>
      </c>
      <c r="D95" s="9" t="s">
        <v>10</v>
      </c>
      <c r="E95" s="21">
        <f>391590</f>
        <v>391590</v>
      </c>
      <c r="F95" s="21">
        <f>783181</f>
        <v>783181</v>
      </c>
      <c r="G95" s="21">
        <f>783181</f>
        <v>783181</v>
      </c>
    </row>
    <row r="96" spans="1:7" ht="69">
      <c r="A96" s="11" t="s">
        <v>120</v>
      </c>
      <c r="B96" s="8" t="s">
        <v>122</v>
      </c>
      <c r="C96" s="9"/>
      <c r="D96" s="9"/>
      <c r="E96" s="20">
        <f>E97+E99</f>
        <v>15000</v>
      </c>
      <c r="F96" s="20">
        <f>F97+F99</f>
        <v>0</v>
      </c>
      <c r="G96" s="20">
        <f>G97+G99</f>
        <v>0</v>
      </c>
    </row>
    <row r="97" spans="1:7" ht="87">
      <c r="A97" s="11" t="s">
        <v>180</v>
      </c>
      <c r="B97" s="8" t="s">
        <v>122</v>
      </c>
      <c r="C97" s="8" t="s">
        <v>138</v>
      </c>
      <c r="D97" s="8"/>
      <c r="E97" s="20">
        <f>E98</f>
        <v>15000</v>
      </c>
      <c r="F97" s="20">
        <f>F98</f>
        <v>0</v>
      </c>
      <c r="G97" s="20">
        <f>G98</f>
        <v>0</v>
      </c>
    </row>
    <row r="98" spans="1:7" ht="132.75" customHeight="1">
      <c r="A98" s="10" t="s">
        <v>5</v>
      </c>
      <c r="B98" s="9" t="s">
        <v>122</v>
      </c>
      <c r="C98" s="9" t="s">
        <v>138</v>
      </c>
      <c r="D98" s="9" t="s">
        <v>6</v>
      </c>
      <c r="E98" s="21">
        <f>15000</f>
        <v>15000</v>
      </c>
      <c r="F98" s="21"/>
      <c r="G98" s="21"/>
    </row>
    <row r="99" spans="1:7" s="24" customFormat="1" ht="69" hidden="1">
      <c r="A99" s="11" t="s">
        <v>101</v>
      </c>
      <c r="B99" s="8" t="s">
        <v>122</v>
      </c>
      <c r="C99" s="8" t="s">
        <v>149</v>
      </c>
      <c r="D99" s="8"/>
      <c r="E99" s="20">
        <f>E100</f>
        <v>0</v>
      </c>
      <c r="F99" s="20">
        <f>F100</f>
        <v>0</v>
      </c>
      <c r="G99" s="20">
        <f>G100</f>
        <v>0</v>
      </c>
    </row>
    <row r="100" spans="1:7" ht="129.75" customHeight="1" hidden="1">
      <c r="A100" s="10" t="s">
        <v>5</v>
      </c>
      <c r="B100" s="9" t="s">
        <v>122</v>
      </c>
      <c r="C100" s="9" t="s">
        <v>149</v>
      </c>
      <c r="D100" s="9" t="s">
        <v>6</v>
      </c>
      <c r="E100" s="21"/>
      <c r="F100" s="21"/>
      <c r="G100" s="21"/>
    </row>
    <row r="101" spans="1:7" ht="36" customHeight="1">
      <c r="A101" s="11" t="s">
        <v>34</v>
      </c>
      <c r="B101" s="8" t="s">
        <v>35</v>
      </c>
      <c r="C101" s="8" t="s">
        <v>0</v>
      </c>
      <c r="D101" s="8" t="s">
        <v>0</v>
      </c>
      <c r="E101" s="20">
        <f>E102+E108+E112+E118</f>
        <v>20204734.14</v>
      </c>
      <c r="F101" s="20">
        <f>F102+F108+F112+F118</f>
        <v>7856120</v>
      </c>
      <c r="G101" s="20">
        <f>G102+G108+G112+G118</f>
        <v>8167620</v>
      </c>
    </row>
    <row r="102" spans="1:7" ht="34.5">
      <c r="A102" s="11" t="s">
        <v>36</v>
      </c>
      <c r="B102" s="8" t="s">
        <v>37</v>
      </c>
      <c r="C102" s="8" t="s">
        <v>0</v>
      </c>
      <c r="D102" s="8" t="s">
        <v>0</v>
      </c>
      <c r="E102" s="20">
        <f>E103+E105</f>
        <v>123000</v>
      </c>
      <c r="F102" s="20">
        <f>F103+F105</f>
        <v>2108900</v>
      </c>
      <c r="G102" s="20">
        <f>G103+G105</f>
        <v>2108900</v>
      </c>
    </row>
    <row r="103" spans="1:7" ht="104.25">
      <c r="A103" s="11" t="s">
        <v>204</v>
      </c>
      <c r="B103" s="8" t="s">
        <v>37</v>
      </c>
      <c r="C103" s="8" t="s">
        <v>205</v>
      </c>
      <c r="D103" s="8" t="s">
        <v>0</v>
      </c>
      <c r="E103" s="20">
        <f>E104</f>
        <v>0</v>
      </c>
      <c r="F103" s="20">
        <f>F104</f>
        <v>1985900</v>
      </c>
      <c r="G103" s="20">
        <f>G104</f>
        <v>0</v>
      </c>
    </row>
    <row r="104" spans="1:7" ht="54">
      <c r="A104" s="10" t="s">
        <v>9</v>
      </c>
      <c r="B104" s="9" t="s">
        <v>37</v>
      </c>
      <c r="C104" s="9" t="s">
        <v>205</v>
      </c>
      <c r="D104" s="9" t="s">
        <v>10</v>
      </c>
      <c r="E104" s="21"/>
      <c r="F104" s="21">
        <f>1985900</f>
        <v>1985900</v>
      </c>
      <c r="G104" s="21"/>
    </row>
    <row r="105" spans="1:7" ht="69">
      <c r="A105" s="11" t="s">
        <v>101</v>
      </c>
      <c r="B105" s="8" t="s">
        <v>37</v>
      </c>
      <c r="C105" s="8" t="s">
        <v>135</v>
      </c>
      <c r="D105" s="8" t="s">
        <v>0</v>
      </c>
      <c r="E105" s="20">
        <f>E107+E106</f>
        <v>123000</v>
      </c>
      <c r="F105" s="20">
        <f>F107+F106</f>
        <v>123000</v>
      </c>
      <c r="G105" s="20">
        <f>G107+G106</f>
        <v>2108900</v>
      </c>
    </row>
    <row r="106" spans="1:7" ht="60.75" customHeight="1">
      <c r="A106" s="10" t="s">
        <v>9</v>
      </c>
      <c r="B106" s="9" t="s">
        <v>37</v>
      </c>
      <c r="C106" s="9" t="s">
        <v>135</v>
      </c>
      <c r="D106" s="9" t="s">
        <v>10</v>
      </c>
      <c r="E106" s="21">
        <f>123000</f>
        <v>123000</v>
      </c>
      <c r="F106" s="21">
        <f>123000</f>
        <v>123000</v>
      </c>
      <c r="G106" s="21">
        <f>123000+1985900</f>
        <v>2108900</v>
      </c>
    </row>
    <row r="107" spans="1:7" ht="18" hidden="1">
      <c r="A107" s="10" t="s">
        <v>12</v>
      </c>
      <c r="B107" s="9" t="s">
        <v>37</v>
      </c>
      <c r="C107" s="9" t="s">
        <v>11</v>
      </c>
      <c r="D107" s="9" t="s">
        <v>13</v>
      </c>
      <c r="E107" s="21"/>
      <c r="F107" s="21"/>
      <c r="G107" s="21"/>
    </row>
    <row r="108" spans="1:7" ht="17.25" hidden="1">
      <c r="A108" s="11" t="s">
        <v>38</v>
      </c>
      <c r="B108" s="8" t="s">
        <v>39</v>
      </c>
      <c r="C108" s="8" t="s">
        <v>0</v>
      </c>
      <c r="D108" s="8" t="s">
        <v>0</v>
      </c>
      <c r="E108" s="20">
        <f>E109</f>
        <v>0</v>
      </c>
      <c r="F108" s="20">
        <f>F109</f>
        <v>0</v>
      </c>
      <c r="G108" s="20">
        <f>G109</f>
        <v>0</v>
      </c>
    </row>
    <row r="109" spans="1:7" ht="69" hidden="1">
      <c r="A109" s="11" t="s">
        <v>101</v>
      </c>
      <c r="B109" s="8" t="s">
        <v>39</v>
      </c>
      <c r="C109" s="8" t="s">
        <v>11</v>
      </c>
      <c r="D109" s="8" t="s">
        <v>0</v>
      </c>
      <c r="E109" s="20">
        <f>E110+E111</f>
        <v>0</v>
      </c>
      <c r="F109" s="20">
        <f>F110+F111</f>
        <v>0</v>
      </c>
      <c r="G109" s="20">
        <f>G110+G111</f>
        <v>0</v>
      </c>
    </row>
    <row r="110" spans="1:7" ht="54" hidden="1">
      <c r="A110" s="10" t="s">
        <v>9</v>
      </c>
      <c r="B110" s="9" t="s">
        <v>39</v>
      </c>
      <c r="C110" s="9" t="s">
        <v>11</v>
      </c>
      <c r="D110" s="9" t="s">
        <v>10</v>
      </c>
      <c r="E110" s="21"/>
      <c r="F110" s="21"/>
      <c r="G110" s="21"/>
    </row>
    <row r="111" spans="1:7" ht="72" hidden="1">
      <c r="A111" s="10" t="s">
        <v>30</v>
      </c>
      <c r="B111" s="9" t="s">
        <v>39</v>
      </c>
      <c r="C111" s="9" t="s">
        <v>11</v>
      </c>
      <c r="D111" s="9" t="s">
        <v>31</v>
      </c>
      <c r="E111" s="21"/>
      <c r="F111" s="21"/>
      <c r="G111" s="21"/>
    </row>
    <row r="112" spans="1:7" ht="34.5">
      <c r="A112" s="11" t="s">
        <v>41</v>
      </c>
      <c r="B112" s="8" t="s">
        <v>42</v>
      </c>
      <c r="C112" s="8" t="s">
        <v>0</v>
      </c>
      <c r="D112" s="8" t="s">
        <v>0</v>
      </c>
      <c r="E112" s="20">
        <f>E113+E115</f>
        <v>19681734.14</v>
      </c>
      <c r="F112" s="20">
        <f>F113+F115</f>
        <v>5747220</v>
      </c>
      <c r="G112" s="20">
        <f>G113+G115</f>
        <v>6058720</v>
      </c>
    </row>
    <row r="113" spans="1:7" ht="141" customHeight="1">
      <c r="A113" s="11" t="s">
        <v>192</v>
      </c>
      <c r="B113" s="8" t="s">
        <v>42</v>
      </c>
      <c r="C113" s="8" t="s">
        <v>193</v>
      </c>
      <c r="D113" s="8" t="s">
        <v>0</v>
      </c>
      <c r="E113" s="20">
        <f>E114</f>
        <v>8080808.08</v>
      </c>
      <c r="F113" s="20">
        <f>F114</f>
        <v>0</v>
      </c>
      <c r="G113" s="20">
        <f>G114</f>
        <v>0</v>
      </c>
    </row>
    <row r="114" spans="1:7" ht="54">
      <c r="A114" s="10" t="s">
        <v>9</v>
      </c>
      <c r="B114" s="9" t="s">
        <v>42</v>
      </c>
      <c r="C114" s="9" t="s">
        <v>193</v>
      </c>
      <c r="D114" s="9" t="s">
        <v>10</v>
      </c>
      <c r="E114" s="21">
        <f>8080808.08</f>
        <v>8080808.08</v>
      </c>
      <c r="F114" s="21"/>
      <c r="G114" s="21"/>
    </row>
    <row r="115" spans="1:7" ht="69">
      <c r="A115" s="11" t="s">
        <v>101</v>
      </c>
      <c r="B115" s="8" t="s">
        <v>42</v>
      </c>
      <c r="C115" s="8" t="s">
        <v>135</v>
      </c>
      <c r="D115" s="8"/>
      <c r="E115" s="20">
        <f>E116+E117</f>
        <v>11600926.059999999</v>
      </c>
      <c r="F115" s="20">
        <f>F116+F117</f>
        <v>5747220</v>
      </c>
      <c r="G115" s="20">
        <f>G116+G117</f>
        <v>6058720</v>
      </c>
    </row>
    <row r="116" spans="1:7" ht="57" customHeight="1">
      <c r="A116" s="10" t="s">
        <v>9</v>
      </c>
      <c r="B116" s="9" t="s">
        <v>42</v>
      </c>
      <c r="C116" s="9" t="s">
        <v>135</v>
      </c>
      <c r="D116" s="9" t="s">
        <v>10</v>
      </c>
      <c r="E116" s="21">
        <f>4573400+966920+6060606.06</f>
        <v>11600926.059999999</v>
      </c>
      <c r="F116" s="21">
        <f>4780300+966920</f>
        <v>5747220</v>
      </c>
      <c r="G116" s="21">
        <f>5091800+966920</f>
        <v>6058720</v>
      </c>
    </row>
    <row r="117" spans="1:7" ht="18" hidden="1">
      <c r="A117" s="10"/>
      <c r="B117" s="9" t="s">
        <v>42</v>
      </c>
      <c r="C117" s="9" t="s">
        <v>135</v>
      </c>
      <c r="D117" s="9" t="s">
        <v>31</v>
      </c>
      <c r="E117" s="21"/>
      <c r="F117" s="21"/>
      <c r="G117" s="21"/>
    </row>
    <row r="118" spans="1:7" ht="34.5">
      <c r="A118" s="11" t="s">
        <v>43</v>
      </c>
      <c r="B118" s="8" t="s">
        <v>44</v>
      </c>
      <c r="C118" s="8" t="s">
        <v>0</v>
      </c>
      <c r="D118" s="8" t="s">
        <v>0</v>
      </c>
      <c r="E118" s="20">
        <f>E119+E121</f>
        <v>400000</v>
      </c>
      <c r="F118" s="20">
        <f>F119+F121</f>
        <v>0</v>
      </c>
      <c r="G118" s="20">
        <f>G119+G121</f>
        <v>0</v>
      </c>
    </row>
    <row r="119" spans="1:7" ht="145.5" customHeight="1">
      <c r="A119" s="11" t="s">
        <v>176</v>
      </c>
      <c r="B119" s="8" t="s">
        <v>44</v>
      </c>
      <c r="C119" s="8" t="s">
        <v>195</v>
      </c>
      <c r="D119" s="8" t="s">
        <v>0</v>
      </c>
      <c r="E119" s="20">
        <f>E120</f>
        <v>400000</v>
      </c>
      <c r="F119" s="20">
        <f>F120</f>
        <v>0</v>
      </c>
      <c r="G119" s="20">
        <f>G120</f>
        <v>0</v>
      </c>
    </row>
    <row r="120" spans="1:7" ht="57" customHeight="1">
      <c r="A120" s="10" t="s">
        <v>9</v>
      </c>
      <c r="B120" s="9" t="s">
        <v>44</v>
      </c>
      <c r="C120" s="9" t="s">
        <v>195</v>
      </c>
      <c r="D120" s="9" t="s">
        <v>10</v>
      </c>
      <c r="E120" s="21">
        <f>400000</f>
        <v>400000</v>
      </c>
      <c r="F120" s="21"/>
      <c r="G120" s="21"/>
    </row>
    <row r="121" spans="1:7" ht="63" customHeight="1" hidden="1">
      <c r="A121" s="11" t="s">
        <v>101</v>
      </c>
      <c r="B121" s="8" t="s">
        <v>44</v>
      </c>
      <c r="C121" s="8" t="s">
        <v>149</v>
      </c>
      <c r="D121" s="8"/>
      <c r="E121" s="20">
        <f>E122</f>
        <v>0</v>
      </c>
      <c r="F121" s="20">
        <f>F122</f>
        <v>0</v>
      </c>
      <c r="G121" s="20">
        <f>G122</f>
        <v>0</v>
      </c>
    </row>
    <row r="122" spans="1:7" ht="63" customHeight="1" hidden="1">
      <c r="A122" s="10" t="s">
        <v>9</v>
      </c>
      <c r="B122" s="9" t="s">
        <v>44</v>
      </c>
      <c r="C122" s="9" t="s">
        <v>149</v>
      </c>
      <c r="D122" s="9" t="s">
        <v>10</v>
      </c>
      <c r="E122" s="21"/>
      <c r="F122" s="21"/>
      <c r="G122" s="21"/>
    </row>
    <row r="123" spans="1:7" ht="55.5" customHeight="1">
      <c r="A123" s="11" t="s">
        <v>45</v>
      </c>
      <c r="B123" s="8" t="s">
        <v>46</v>
      </c>
      <c r="C123" s="8" t="s">
        <v>0</v>
      </c>
      <c r="D123" s="8" t="s">
        <v>0</v>
      </c>
      <c r="E123" s="20">
        <f>E124+E127+E136</f>
        <v>4698963</v>
      </c>
      <c r="F123" s="20">
        <f>F124+F127+F136</f>
        <v>2542100</v>
      </c>
      <c r="G123" s="20">
        <f>G124+G127+G136</f>
        <v>2664600</v>
      </c>
    </row>
    <row r="124" spans="1:7" ht="0.75" customHeight="1" hidden="1">
      <c r="A124" s="11" t="s">
        <v>47</v>
      </c>
      <c r="B124" s="8" t="s">
        <v>48</v>
      </c>
      <c r="C124" s="8" t="s">
        <v>0</v>
      </c>
      <c r="D124" s="8" t="s">
        <v>0</v>
      </c>
      <c r="E124" s="20">
        <f aca="true" t="shared" si="5" ref="E124:G125">E125</f>
        <v>0</v>
      </c>
      <c r="F124" s="20">
        <f t="shared" si="5"/>
        <v>0</v>
      </c>
      <c r="G124" s="20">
        <f t="shared" si="5"/>
        <v>0</v>
      </c>
    </row>
    <row r="125" spans="1:7" ht="69" hidden="1">
      <c r="A125" s="11" t="s">
        <v>101</v>
      </c>
      <c r="B125" s="8" t="s">
        <v>48</v>
      </c>
      <c r="C125" s="8" t="s">
        <v>11</v>
      </c>
      <c r="D125" s="8" t="s">
        <v>0</v>
      </c>
      <c r="E125" s="20">
        <f t="shared" si="5"/>
        <v>0</v>
      </c>
      <c r="F125" s="20">
        <f t="shared" si="5"/>
        <v>0</v>
      </c>
      <c r="G125" s="20">
        <f t="shared" si="5"/>
        <v>0</v>
      </c>
    </row>
    <row r="126" spans="1:7" ht="18" hidden="1">
      <c r="A126" s="10" t="s">
        <v>24</v>
      </c>
      <c r="B126" s="9" t="s">
        <v>48</v>
      </c>
      <c r="C126" s="9" t="s">
        <v>11</v>
      </c>
      <c r="D126" s="9" t="s">
        <v>25</v>
      </c>
      <c r="E126" s="21"/>
      <c r="F126" s="21"/>
      <c r="G126" s="21"/>
    </row>
    <row r="127" spans="1:7" ht="17.25">
      <c r="A127" s="11" t="s">
        <v>49</v>
      </c>
      <c r="B127" s="8" t="s">
        <v>50</v>
      </c>
      <c r="C127" s="8" t="s">
        <v>0</v>
      </c>
      <c r="D127" s="8" t="s">
        <v>0</v>
      </c>
      <c r="E127" s="20">
        <f>E132+E128</f>
        <v>3997963</v>
      </c>
      <c r="F127" s="20">
        <f>F132+F128</f>
        <v>2542100</v>
      </c>
      <c r="G127" s="20">
        <f>G132+G128</f>
        <v>2664600</v>
      </c>
    </row>
    <row r="128" spans="1:7" ht="114" customHeight="1">
      <c r="A128" s="11" t="s">
        <v>181</v>
      </c>
      <c r="B128" s="8" t="s">
        <v>50</v>
      </c>
      <c r="C128" s="8" t="s">
        <v>153</v>
      </c>
      <c r="D128" s="8"/>
      <c r="E128" s="20">
        <f>E131+E130+E129</f>
        <v>1170813</v>
      </c>
      <c r="F128" s="20">
        <f>F131+F130+F129</f>
        <v>0</v>
      </c>
      <c r="G128" s="20">
        <f>G131+G130+G129</f>
        <v>0</v>
      </c>
    </row>
    <row r="129" spans="1:7" ht="57.75" customHeight="1" hidden="1">
      <c r="A129" s="10" t="s">
        <v>9</v>
      </c>
      <c r="B129" s="9" t="s">
        <v>50</v>
      </c>
      <c r="C129" s="9" t="s">
        <v>153</v>
      </c>
      <c r="D129" s="9" t="s">
        <v>10</v>
      </c>
      <c r="E129" s="21"/>
      <c r="F129" s="20"/>
      <c r="G129" s="20"/>
    </row>
    <row r="130" spans="1:7" ht="57" customHeight="1" hidden="1">
      <c r="A130" s="10" t="s">
        <v>170</v>
      </c>
      <c r="B130" s="9" t="s">
        <v>50</v>
      </c>
      <c r="C130" s="9" t="s">
        <v>153</v>
      </c>
      <c r="D130" s="9" t="s">
        <v>31</v>
      </c>
      <c r="E130" s="21"/>
      <c r="F130" s="21"/>
      <c r="G130" s="21"/>
    </row>
    <row r="131" spans="1:7" ht="18">
      <c r="A131" s="10" t="s">
        <v>12</v>
      </c>
      <c r="B131" s="9" t="s">
        <v>50</v>
      </c>
      <c r="C131" s="9" t="s">
        <v>153</v>
      </c>
      <c r="D131" s="9" t="s">
        <v>13</v>
      </c>
      <c r="E131" s="21">
        <f>1170813</f>
        <v>1170813</v>
      </c>
      <c r="F131" s="21"/>
      <c r="G131" s="21"/>
    </row>
    <row r="132" spans="1:7" ht="75" customHeight="1">
      <c r="A132" s="11" t="s">
        <v>101</v>
      </c>
      <c r="B132" s="8" t="s">
        <v>50</v>
      </c>
      <c r="C132" s="8" t="s">
        <v>135</v>
      </c>
      <c r="D132" s="8" t="s">
        <v>0</v>
      </c>
      <c r="E132" s="20">
        <f>E133+E135+E134</f>
        <v>2827150</v>
      </c>
      <c r="F132" s="20">
        <f>F133+F135+F134</f>
        <v>2542100</v>
      </c>
      <c r="G132" s="20">
        <f>G133+G135+G134</f>
        <v>2664600</v>
      </c>
    </row>
    <row r="133" spans="1:7" ht="54" hidden="1">
      <c r="A133" s="10" t="s">
        <v>9</v>
      </c>
      <c r="B133" s="9" t="s">
        <v>50</v>
      </c>
      <c r="C133" s="9" t="s">
        <v>135</v>
      </c>
      <c r="D133" s="9" t="s">
        <v>10</v>
      </c>
      <c r="E133" s="21"/>
      <c r="F133" s="21"/>
      <c r="G133" s="21"/>
    </row>
    <row r="134" spans="1:7" ht="33" customHeight="1">
      <c r="A134" s="10" t="s">
        <v>24</v>
      </c>
      <c r="B134" s="9" t="s">
        <v>50</v>
      </c>
      <c r="C134" s="9" t="s">
        <v>135</v>
      </c>
      <c r="D134" s="9" t="s">
        <v>25</v>
      </c>
      <c r="E134" s="21">
        <f>1170750</f>
        <v>1170750</v>
      </c>
      <c r="F134" s="21"/>
      <c r="G134" s="21"/>
    </row>
    <row r="135" spans="1:7" ht="23.25" customHeight="1">
      <c r="A135" s="10" t="s">
        <v>12</v>
      </c>
      <c r="B135" s="9" t="s">
        <v>50</v>
      </c>
      <c r="C135" s="9" t="s">
        <v>135</v>
      </c>
      <c r="D135" s="9" t="s">
        <v>13</v>
      </c>
      <c r="E135" s="21">
        <f>1656400</f>
        <v>1656400</v>
      </c>
      <c r="F135" s="21">
        <f>2542100</f>
        <v>2542100</v>
      </c>
      <c r="G135" s="21">
        <f>2664600</f>
        <v>2664600</v>
      </c>
    </row>
    <row r="136" spans="1:7" ht="22.5" customHeight="1">
      <c r="A136" s="11" t="s">
        <v>125</v>
      </c>
      <c r="B136" s="8" t="s">
        <v>124</v>
      </c>
      <c r="C136" s="9"/>
      <c r="D136" s="9"/>
      <c r="E136" s="20">
        <f>E139+E137</f>
        <v>701000</v>
      </c>
      <c r="F136" s="20">
        <f>F139+F137</f>
        <v>0</v>
      </c>
      <c r="G136" s="20">
        <f>G139+G137</f>
        <v>0</v>
      </c>
    </row>
    <row r="137" spans="1:7" ht="1.5" customHeight="1" hidden="1">
      <c r="A137" s="11"/>
      <c r="B137" s="8" t="s">
        <v>124</v>
      </c>
      <c r="C137" s="8" t="s">
        <v>154</v>
      </c>
      <c r="D137" s="9"/>
      <c r="E137" s="20">
        <f>E138</f>
        <v>0</v>
      </c>
      <c r="F137" s="20">
        <f>F138</f>
        <v>0</v>
      </c>
      <c r="G137" s="20">
        <f>G138</f>
        <v>0</v>
      </c>
    </row>
    <row r="138" spans="1:7" ht="54" hidden="1">
      <c r="A138" s="10" t="s">
        <v>9</v>
      </c>
      <c r="B138" s="9" t="s">
        <v>124</v>
      </c>
      <c r="C138" s="9" t="s">
        <v>154</v>
      </c>
      <c r="D138" s="9" t="s">
        <v>10</v>
      </c>
      <c r="E138" s="21"/>
      <c r="F138" s="21"/>
      <c r="G138" s="21"/>
    </row>
    <row r="139" spans="1:7" ht="67.5" customHeight="1">
      <c r="A139" s="11" t="s">
        <v>101</v>
      </c>
      <c r="B139" s="8" t="s">
        <v>124</v>
      </c>
      <c r="C139" s="8" t="s">
        <v>135</v>
      </c>
      <c r="D139" s="9"/>
      <c r="E139" s="20">
        <f>E140+E141</f>
        <v>701000</v>
      </c>
      <c r="F139" s="20">
        <f>F140+F141</f>
        <v>0</v>
      </c>
      <c r="G139" s="20">
        <f>G140+G141</f>
        <v>0</v>
      </c>
    </row>
    <row r="140" spans="1:7" ht="54" hidden="1">
      <c r="A140" s="10" t="s">
        <v>9</v>
      </c>
      <c r="B140" s="9" t="s">
        <v>124</v>
      </c>
      <c r="C140" s="9" t="s">
        <v>135</v>
      </c>
      <c r="D140" s="9" t="s">
        <v>10</v>
      </c>
      <c r="E140" s="21">
        <f>302891-302891</f>
        <v>0</v>
      </c>
      <c r="F140" s="21"/>
      <c r="G140" s="21"/>
    </row>
    <row r="141" spans="1:7" ht="20.25" customHeight="1">
      <c r="A141" s="10" t="s">
        <v>24</v>
      </c>
      <c r="B141" s="9" t="s">
        <v>124</v>
      </c>
      <c r="C141" s="9" t="s">
        <v>135</v>
      </c>
      <c r="D141" s="9" t="s">
        <v>25</v>
      </c>
      <c r="E141" s="21">
        <f>701000</f>
        <v>701000</v>
      </c>
      <c r="F141" s="21"/>
      <c r="G141" s="21"/>
    </row>
    <row r="142" spans="1:7" ht="20.25" customHeight="1">
      <c r="A142" s="11" t="s">
        <v>212</v>
      </c>
      <c r="B142" s="8" t="s">
        <v>209</v>
      </c>
      <c r="C142" s="8"/>
      <c r="D142" s="8"/>
      <c r="E142" s="20">
        <f aca="true" t="shared" si="6" ref="E142:G144">E143</f>
        <v>56198</v>
      </c>
      <c r="F142" s="20">
        <f t="shared" si="6"/>
        <v>56198</v>
      </c>
      <c r="G142" s="20">
        <f t="shared" si="6"/>
        <v>56198</v>
      </c>
    </row>
    <row r="143" spans="1:7" ht="42.75" customHeight="1">
      <c r="A143" s="11" t="s">
        <v>211</v>
      </c>
      <c r="B143" s="8" t="s">
        <v>210</v>
      </c>
      <c r="C143" s="8"/>
      <c r="D143" s="8"/>
      <c r="E143" s="20">
        <f t="shared" si="6"/>
        <v>56198</v>
      </c>
      <c r="F143" s="20">
        <f t="shared" si="6"/>
        <v>56198</v>
      </c>
      <c r="G143" s="20">
        <f t="shared" si="6"/>
        <v>56198</v>
      </c>
    </row>
    <row r="144" spans="1:7" ht="72.75" customHeight="1">
      <c r="A144" s="11" t="s">
        <v>101</v>
      </c>
      <c r="B144" s="8" t="s">
        <v>210</v>
      </c>
      <c r="C144" s="8" t="s">
        <v>149</v>
      </c>
      <c r="D144" s="8"/>
      <c r="E144" s="20">
        <f t="shared" si="6"/>
        <v>56198</v>
      </c>
      <c r="F144" s="20">
        <f t="shared" si="6"/>
        <v>56198</v>
      </c>
      <c r="G144" s="20">
        <f t="shared" si="6"/>
        <v>56198</v>
      </c>
    </row>
    <row r="145" spans="1:7" ht="20.25" customHeight="1">
      <c r="A145" s="10" t="s">
        <v>9</v>
      </c>
      <c r="B145" s="9" t="s">
        <v>210</v>
      </c>
      <c r="C145" s="9" t="s">
        <v>149</v>
      </c>
      <c r="D145" s="9" t="s">
        <v>10</v>
      </c>
      <c r="E145" s="21">
        <f>56198</f>
        <v>56198</v>
      </c>
      <c r="F145" s="21">
        <f>56198</f>
        <v>56198</v>
      </c>
      <c r="G145" s="21">
        <f>56198</f>
        <v>56198</v>
      </c>
    </row>
    <row r="146" spans="1:7" ht="17.25">
      <c r="A146" s="11" t="s">
        <v>52</v>
      </c>
      <c r="B146" s="8" t="s">
        <v>53</v>
      </c>
      <c r="C146" s="8" t="s">
        <v>0</v>
      </c>
      <c r="D146" s="8" t="s">
        <v>0</v>
      </c>
      <c r="E146" s="20">
        <f>E147+E158+E219+E234+E214+E194</f>
        <v>294158124.19</v>
      </c>
      <c r="F146" s="20">
        <f>F147+F158+F219+F234+F214+F194</f>
        <v>242323027.19</v>
      </c>
      <c r="G146" s="20">
        <f>G147+G158+G219+G234+G214+G194</f>
        <v>203461106</v>
      </c>
    </row>
    <row r="147" spans="1:7" ht="17.25">
      <c r="A147" s="11" t="s">
        <v>54</v>
      </c>
      <c r="B147" s="8" t="s">
        <v>55</v>
      </c>
      <c r="C147" s="8" t="s">
        <v>0</v>
      </c>
      <c r="D147" s="8" t="s">
        <v>0</v>
      </c>
      <c r="E147" s="20">
        <f>E154+E148</f>
        <v>29150628</v>
      </c>
      <c r="F147" s="20">
        <f>F154+F148</f>
        <v>26806888</v>
      </c>
      <c r="G147" s="20">
        <f>G154+G148</f>
        <v>26786988</v>
      </c>
    </row>
    <row r="148" spans="1:7" ht="73.5" customHeight="1">
      <c r="A148" s="11" t="s">
        <v>182</v>
      </c>
      <c r="B148" s="8" t="s">
        <v>55</v>
      </c>
      <c r="C148" s="8" t="s">
        <v>155</v>
      </c>
      <c r="D148" s="8"/>
      <c r="E148" s="20">
        <f>E149+E152</f>
        <v>14588328</v>
      </c>
      <c r="F148" s="20">
        <f>F149+F152</f>
        <v>12482288</v>
      </c>
      <c r="G148" s="20">
        <f>G149+G152</f>
        <v>0</v>
      </c>
    </row>
    <row r="149" spans="1:7" ht="75" customHeight="1">
      <c r="A149" s="26" t="s">
        <v>190</v>
      </c>
      <c r="B149" s="8" t="s">
        <v>55</v>
      </c>
      <c r="C149" s="8" t="s">
        <v>189</v>
      </c>
      <c r="D149" s="8"/>
      <c r="E149" s="20">
        <f>E151+E150</f>
        <v>9062280</v>
      </c>
      <c r="F149" s="20">
        <f>F151+F150</f>
        <v>8748240</v>
      </c>
      <c r="G149" s="20">
        <f>G151+G150</f>
        <v>0</v>
      </c>
    </row>
    <row r="150" spans="1:7" ht="144">
      <c r="A150" s="10" t="s">
        <v>5</v>
      </c>
      <c r="B150" s="9" t="s">
        <v>55</v>
      </c>
      <c r="C150" s="9" t="s">
        <v>189</v>
      </c>
      <c r="D150" s="9" t="s">
        <v>6</v>
      </c>
      <c r="E150" s="21">
        <f>6069932</f>
        <v>6069932</v>
      </c>
      <c r="F150" s="21">
        <f>6069932</f>
        <v>6069932</v>
      </c>
      <c r="G150" s="21"/>
    </row>
    <row r="151" spans="1:7" ht="54">
      <c r="A151" s="10" t="s">
        <v>9</v>
      </c>
      <c r="B151" s="9" t="s">
        <v>55</v>
      </c>
      <c r="C151" s="9" t="s">
        <v>189</v>
      </c>
      <c r="D151" s="9" t="s">
        <v>10</v>
      </c>
      <c r="E151" s="21">
        <f>2992348</f>
        <v>2992348</v>
      </c>
      <c r="F151" s="21">
        <f>2678308</f>
        <v>2678308</v>
      </c>
      <c r="G151" s="21"/>
    </row>
    <row r="152" spans="1:7" ht="51.75">
      <c r="A152" s="27" t="s">
        <v>191</v>
      </c>
      <c r="B152" s="8" t="s">
        <v>55</v>
      </c>
      <c r="C152" s="8" t="s">
        <v>157</v>
      </c>
      <c r="D152" s="8"/>
      <c r="E152" s="20">
        <f>E153</f>
        <v>5526048</v>
      </c>
      <c r="F152" s="20">
        <f>F153</f>
        <v>3734048</v>
      </c>
      <c r="G152" s="20">
        <f>G153</f>
        <v>0</v>
      </c>
    </row>
    <row r="153" spans="1:7" ht="54">
      <c r="A153" s="10" t="s">
        <v>9</v>
      </c>
      <c r="B153" s="9" t="s">
        <v>55</v>
      </c>
      <c r="C153" s="9" t="s">
        <v>157</v>
      </c>
      <c r="D153" s="9" t="s">
        <v>10</v>
      </c>
      <c r="E153" s="21">
        <f>3894048+1600000+32000</f>
        <v>5526048</v>
      </c>
      <c r="F153" s="21">
        <f>3734048</f>
        <v>3734048</v>
      </c>
      <c r="G153" s="21"/>
    </row>
    <row r="154" spans="1:7" ht="69">
      <c r="A154" s="11" t="s">
        <v>101</v>
      </c>
      <c r="B154" s="8" t="s">
        <v>55</v>
      </c>
      <c r="C154" s="8" t="s">
        <v>135</v>
      </c>
      <c r="D154" s="8" t="s">
        <v>0</v>
      </c>
      <c r="E154" s="20">
        <f>E155+E157+E156</f>
        <v>14562300</v>
      </c>
      <c r="F154" s="20">
        <f>F155+F157+F156</f>
        <v>14324600</v>
      </c>
      <c r="G154" s="20">
        <f>G155+G157+G156</f>
        <v>26786988</v>
      </c>
    </row>
    <row r="155" spans="1:7" ht="144">
      <c r="A155" s="10" t="s">
        <v>5</v>
      </c>
      <c r="B155" s="9" t="s">
        <v>55</v>
      </c>
      <c r="C155" s="9" t="s">
        <v>135</v>
      </c>
      <c r="D155" s="9" t="s">
        <v>6</v>
      </c>
      <c r="E155" s="21">
        <f>7076625+2373875+3747750+1249250</f>
        <v>14447500</v>
      </c>
      <c r="F155" s="21">
        <f>6971250+2323750+3686100+1228700</f>
        <v>14209800</v>
      </c>
      <c r="G155" s="21">
        <f>6069932+6956325+2318775+3686100+1228700</f>
        <v>20259832</v>
      </c>
    </row>
    <row r="156" spans="1:7" ht="57.75" customHeight="1">
      <c r="A156" s="10" t="s">
        <v>9</v>
      </c>
      <c r="B156" s="9" t="s">
        <v>55</v>
      </c>
      <c r="C156" s="9" t="s">
        <v>135</v>
      </c>
      <c r="D156" s="9" t="s">
        <v>10</v>
      </c>
      <c r="E156" s="21">
        <f>77000+37800</f>
        <v>114800</v>
      </c>
      <c r="F156" s="21">
        <f>77000+37800</f>
        <v>114800</v>
      </c>
      <c r="G156" s="21">
        <f>2678308+3734048+77000+37800</f>
        <v>6527156</v>
      </c>
    </row>
    <row r="157" spans="1:7" ht="18" hidden="1">
      <c r="A157" s="10" t="s">
        <v>12</v>
      </c>
      <c r="B157" s="9" t="s">
        <v>55</v>
      </c>
      <c r="C157" s="9" t="s">
        <v>135</v>
      </c>
      <c r="D157" s="9" t="s">
        <v>13</v>
      </c>
      <c r="E157" s="21"/>
      <c r="F157" s="21"/>
      <c r="G157" s="21"/>
    </row>
    <row r="158" spans="1:7" ht="17.25">
      <c r="A158" s="11" t="s">
        <v>56</v>
      </c>
      <c r="B158" s="8" t="s">
        <v>57</v>
      </c>
      <c r="C158" s="8" t="s">
        <v>0</v>
      </c>
      <c r="D158" s="8" t="s">
        <v>0</v>
      </c>
      <c r="E158" s="20">
        <f>E159+E186+E188+E183</f>
        <v>229003697.19</v>
      </c>
      <c r="F158" s="20">
        <f>F159+F186+F188+F183</f>
        <v>181865947.19</v>
      </c>
      <c r="G158" s="20">
        <f>G159+G186+G188+G183</f>
        <v>143394226</v>
      </c>
    </row>
    <row r="159" spans="1:7" ht="95.25" customHeight="1">
      <c r="A159" s="11" t="s">
        <v>182</v>
      </c>
      <c r="B159" s="8" t="s">
        <v>57</v>
      </c>
      <c r="C159" s="8" t="s">
        <v>139</v>
      </c>
      <c r="D159" s="8" t="s">
        <v>0</v>
      </c>
      <c r="E159" s="20">
        <f>E160+E163+E167+E171+E174+E177+E180</f>
        <v>88177889.19</v>
      </c>
      <c r="F159" s="20">
        <f>F160+F163+F167+F171+F174+F177+F180</f>
        <v>76348247.19</v>
      </c>
      <c r="G159" s="20">
        <f>G160+G163+G167+G171+G174+G177+G180</f>
        <v>0</v>
      </c>
    </row>
    <row r="160" spans="1:7" ht="34.5" hidden="1">
      <c r="A160" s="16" t="s">
        <v>103</v>
      </c>
      <c r="B160" s="8" t="s">
        <v>57</v>
      </c>
      <c r="C160" s="8" t="s">
        <v>109</v>
      </c>
      <c r="D160" s="8"/>
      <c r="E160" s="20">
        <f>SUM(E161:E162)</f>
        <v>0</v>
      </c>
      <c r="F160" s="20">
        <f>SUM(F161:F162)</f>
        <v>0</v>
      </c>
      <c r="G160" s="20">
        <f>SUM(G161:G162)</f>
        <v>0</v>
      </c>
    </row>
    <row r="161" spans="1:7" ht="54" hidden="1">
      <c r="A161" s="10" t="s">
        <v>9</v>
      </c>
      <c r="B161" s="9" t="s">
        <v>57</v>
      </c>
      <c r="C161" s="9" t="s">
        <v>109</v>
      </c>
      <c r="D161" s="9" t="s">
        <v>10</v>
      </c>
      <c r="E161" s="20"/>
      <c r="F161" s="20"/>
      <c r="G161" s="20"/>
    </row>
    <row r="162" spans="1:7" ht="72" hidden="1">
      <c r="A162" s="10" t="s">
        <v>26</v>
      </c>
      <c r="B162" s="9" t="s">
        <v>57</v>
      </c>
      <c r="C162" s="9" t="s">
        <v>109</v>
      </c>
      <c r="D162" s="9" t="s">
        <v>27</v>
      </c>
      <c r="E162" s="20"/>
      <c r="F162" s="20"/>
      <c r="G162" s="20"/>
    </row>
    <row r="163" spans="1:7" ht="81" customHeight="1">
      <c r="A163" s="27" t="s">
        <v>190</v>
      </c>
      <c r="B163" s="8" t="s">
        <v>57</v>
      </c>
      <c r="C163" s="8" t="s">
        <v>188</v>
      </c>
      <c r="D163" s="8"/>
      <c r="E163" s="20">
        <f>SUM(E164:E165)+E166</f>
        <v>24164300</v>
      </c>
      <c r="F163" s="20">
        <f>SUM(F164:F165)+F166</f>
        <v>20526909</v>
      </c>
      <c r="G163" s="20">
        <f>SUM(G164:G165)+G166</f>
        <v>0</v>
      </c>
    </row>
    <row r="164" spans="1:7" ht="133.5" customHeight="1">
      <c r="A164" s="10" t="s">
        <v>5</v>
      </c>
      <c r="B164" s="9" t="s">
        <v>57</v>
      </c>
      <c r="C164" s="9" t="s">
        <v>189</v>
      </c>
      <c r="D164" s="9" t="s">
        <v>6</v>
      </c>
      <c r="E164" s="21">
        <f>197600+300000</f>
        <v>497600</v>
      </c>
      <c r="F164" s="21">
        <f>197600+300000</f>
        <v>497600</v>
      </c>
      <c r="G164" s="21"/>
    </row>
    <row r="165" spans="1:7" ht="57.75" customHeight="1">
      <c r="A165" s="10" t="s">
        <v>9</v>
      </c>
      <c r="B165" s="9" t="s">
        <v>57</v>
      </c>
      <c r="C165" s="9" t="s">
        <v>188</v>
      </c>
      <c r="D165" s="9" t="s">
        <v>10</v>
      </c>
      <c r="E165" s="21">
        <f>23666700</f>
        <v>23666700</v>
      </c>
      <c r="F165" s="21">
        <f>20029309</f>
        <v>20029309</v>
      </c>
      <c r="G165" s="21"/>
    </row>
    <row r="166" spans="1:7" ht="36" hidden="1">
      <c r="A166" s="10" t="s">
        <v>32</v>
      </c>
      <c r="B166" s="9" t="s">
        <v>57</v>
      </c>
      <c r="C166" s="9" t="s">
        <v>188</v>
      </c>
      <c r="D166" s="9" t="s">
        <v>33</v>
      </c>
      <c r="E166" s="21"/>
      <c r="F166" s="21"/>
      <c r="G166" s="21"/>
    </row>
    <row r="167" spans="1:7" ht="68.25" customHeight="1">
      <c r="A167" s="27" t="s">
        <v>191</v>
      </c>
      <c r="B167" s="8" t="s">
        <v>57</v>
      </c>
      <c r="C167" s="8" t="s">
        <v>157</v>
      </c>
      <c r="D167" s="8"/>
      <c r="E167" s="20">
        <f>SUM(E168:E170)</f>
        <v>64013589.19</v>
      </c>
      <c r="F167" s="20">
        <f>SUM(F168:F170)</f>
        <v>55821338.19</v>
      </c>
      <c r="G167" s="20">
        <f>SUM(G168:G170)</f>
        <v>0</v>
      </c>
    </row>
    <row r="168" spans="1:7" ht="54">
      <c r="A168" s="10" t="s">
        <v>9</v>
      </c>
      <c r="B168" s="9" t="s">
        <v>57</v>
      </c>
      <c r="C168" s="9" t="s">
        <v>157</v>
      </c>
      <c r="D168" s="9" t="s">
        <v>10</v>
      </c>
      <c r="E168" s="21">
        <f>6072611+5397700+40134318.19+1097000+4544900+6550000+80000</f>
        <v>63876529.19</v>
      </c>
      <c r="F168" s="21">
        <f>4884260+5229300+40134318.19+902000+4534400</f>
        <v>55684278.19</v>
      </c>
      <c r="G168" s="21"/>
    </row>
    <row r="169" spans="1:7" ht="36.75" customHeight="1">
      <c r="A169" s="10" t="s">
        <v>32</v>
      </c>
      <c r="B169" s="9" t="s">
        <v>57</v>
      </c>
      <c r="C169" s="9" t="s">
        <v>157</v>
      </c>
      <c r="D169" s="9" t="s">
        <v>33</v>
      </c>
      <c r="E169" s="21">
        <f>137060</f>
        <v>137060</v>
      </c>
      <c r="F169" s="21">
        <f>137060</f>
        <v>137060</v>
      </c>
      <c r="G169" s="21"/>
    </row>
    <row r="170" spans="1:7" ht="42" customHeight="1" hidden="1">
      <c r="A170" s="10" t="s">
        <v>32</v>
      </c>
      <c r="B170" s="9" t="s">
        <v>57</v>
      </c>
      <c r="C170" s="9" t="s">
        <v>157</v>
      </c>
      <c r="D170" s="9" t="s">
        <v>27</v>
      </c>
      <c r="E170" s="21"/>
      <c r="F170" s="21"/>
      <c r="G170" s="20"/>
    </row>
    <row r="171" spans="1:7" ht="17.25" hidden="1">
      <c r="A171" s="25"/>
      <c r="B171" s="8" t="s">
        <v>57</v>
      </c>
      <c r="C171" s="8" t="s">
        <v>196</v>
      </c>
      <c r="D171" s="8"/>
      <c r="E171" s="20">
        <f>SUM(E172:E173)</f>
        <v>0</v>
      </c>
      <c r="F171" s="20">
        <f>SUM(F172:F173)</f>
        <v>0</v>
      </c>
      <c r="G171" s="20">
        <f>SUM(G172:G173)</f>
        <v>0</v>
      </c>
    </row>
    <row r="172" spans="1:7" ht="54" hidden="1">
      <c r="A172" s="10" t="s">
        <v>9</v>
      </c>
      <c r="B172" s="9" t="s">
        <v>57</v>
      </c>
      <c r="C172" s="9" t="s">
        <v>196</v>
      </c>
      <c r="D172" s="9" t="s">
        <v>10</v>
      </c>
      <c r="E172" s="21"/>
      <c r="F172" s="21"/>
      <c r="G172" s="21"/>
    </row>
    <row r="173" spans="1:7" ht="72" hidden="1">
      <c r="A173" s="10" t="s">
        <v>26</v>
      </c>
      <c r="B173" s="9" t="s">
        <v>57</v>
      </c>
      <c r="C173" s="9" t="s">
        <v>111</v>
      </c>
      <c r="D173" s="9" t="s">
        <v>27</v>
      </c>
      <c r="E173" s="21"/>
      <c r="F173" s="21"/>
      <c r="G173" s="21"/>
    </row>
    <row r="174" spans="1:7" ht="69" hidden="1">
      <c r="A174" s="16" t="s">
        <v>106</v>
      </c>
      <c r="B174" s="8" t="s">
        <v>57</v>
      </c>
      <c r="C174" s="8" t="s">
        <v>112</v>
      </c>
      <c r="D174" s="8"/>
      <c r="E174" s="20">
        <f>SUM(E175:E176)</f>
        <v>0</v>
      </c>
      <c r="F174" s="20">
        <f>SUM(F175:F176)</f>
        <v>0</v>
      </c>
      <c r="G174" s="20">
        <f>SUM(G175:G176)</f>
        <v>0</v>
      </c>
    </row>
    <row r="175" spans="1:7" ht="54" hidden="1">
      <c r="A175" s="10" t="s">
        <v>9</v>
      </c>
      <c r="B175" s="9" t="s">
        <v>57</v>
      </c>
      <c r="C175" s="9" t="s">
        <v>112</v>
      </c>
      <c r="D175" s="9" t="s">
        <v>10</v>
      </c>
      <c r="E175" s="20"/>
      <c r="F175" s="20"/>
      <c r="G175" s="20"/>
    </row>
    <row r="176" spans="1:7" ht="72" hidden="1">
      <c r="A176" s="10" t="s">
        <v>26</v>
      </c>
      <c r="B176" s="9" t="s">
        <v>57</v>
      </c>
      <c r="C176" s="9" t="s">
        <v>112</v>
      </c>
      <c r="D176" s="9" t="s">
        <v>27</v>
      </c>
      <c r="E176" s="20"/>
      <c r="F176" s="20"/>
      <c r="G176" s="20"/>
    </row>
    <row r="177" spans="1:7" ht="0.75" customHeight="1" hidden="1">
      <c r="A177" s="16" t="s">
        <v>107</v>
      </c>
      <c r="B177" s="8" t="s">
        <v>57</v>
      </c>
      <c r="C177" s="8" t="s">
        <v>113</v>
      </c>
      <c r="D177" s="8"/>
      <c r="E177" s="20">
        <f>SUM(E178:E179)</f>
        <v>0</v>
      </c>
      <c r="F177" s="20">
        <f>SUM(F178:F179)</f>
        <v>0</v>
      </c>
      <c r="G177" s="20">
        <f>SUM(G178:G179)</f>
        <v>0</v>
      </c>
    </row>
    <row r="178" spans="1:7" ht="54" hidden="1">
      <c r="A178" s="10" t="s">
        <v>9</v>
      </c>
      <c r="B178" s="9" t="s">
        <v>57</v>
      </c>
      <c r="C178" s="9" t="s">
        <v>113</v>
      </c>
      <c r="D178" s="9" t="s">
        <v>10</v>
      </c>
      <c r="E178" s="20"/>
      <c r="F178" s="20"/>
      <c r="G178" s="20"/>
    </row>
    <row r="179" spans="1:7" ht="72" hidden="1">
      <c r="A179" s="10" t="s">
        <v>26</v>
      </c>
      <c r="B179" s="9" t="s">
        <v>57</v>
      </c>
      <c r="C179" s="9" t="s">
        <v>113</v>
      </c>
      <c r="D179" s="9" t="s">
        <v>27</v>
      </c>
      <c r="E179" s="20"/>
      <c r="F179" s="20"/>
      <c r="G179" s="20"/>
    </row>
    <row r="180" spans="1:7" ht="87" hidden="1">
      <c r="A180" s="16" t="s">
        <v>108</v>
      </c>
      <c r="B180" s="8" t="s">
        <v>57</v>
      </c>
      <c r="C180" s="8" t="s">
        <v>114</v>
      </c>
      <c r="D180" s="8"/>
      <c r="E180" s="20">
        <f>SUM(E181:E182)</f>
        <v>0</v>
      </c>
      <c r="F180" s="20">
        <f>SUM(F181:F182)</f>
        <v>0</v>
      </c>
      <c r="G180" s="20">
        <f>SUM(G181:G182)</f>
        <v>0</v>
      </c>
    </row>
    <row r="181" spans="1:7" ht="54" hidden="1">
      <c r="A181" s="10" t="s">
        <v>9</v>
      </c>
      <c r="B181" s="9" t="s">
        <v>57</v>
      </c>
      <c r="C181" s="9" t="s">
        <v>114</v>
      </c>
      <c r="D181" s="9" t="s">
        <v>10</v>
      </c>
      <c r="E181" s="20"/>
      <c r="F181" s="20"/>
      <c r="G181" s="20"/>
    </row>
    <row r="182" spans="1:7" ht="72" hidden="1">
      <c r="A182" s="10" t="s">
        <v>26</v>
      </c>
      <c r="B182" s="9" t="s">
        <v>57</v>
      </c>
      <c r="C182" s="9" t="s">
        <v>114</v>
      </c>
      <c r="D182" s="9" t="s">
        <v>27</v>
      </c>
      <c r="E182" s="20"/>
      <c r="F182" s="20"/>
      <c r="G182" s="20"/>
    </row>
    <row r="183" spans="1:7" ht="87" hidden="1">
      <c r="A183" s="11" t="s">
        <v>158</v>
      </c>
      <c r="B183" s="8" t="s">
        <v>57</v>
      </c>
      <c r="C183" s="8" t="s">
        <v>164</v>
      </c>
      <c r="D183" s="8"/>
      <c r="E183" s="20">
        <f>E184</f>
        <v>0</v>
      </c>
      <c r="F183" s="20">
        <f>F184</f>
        <v>0</v>
      </c>
      <c r="G183" s="20">
        <f>G184</f>
        <v>0</v>
      </c>
    </row>
    <row r="184" spans="1:7" ht="72" hidden="1">
      <c r="A184" s="10" t="s">
        <v>26</v>
      </c>
      <c r="B184" s="9" t="s">
        <v>57</v>
      </c>
      <c r="C184" s="9" t="s">
        <v>164</v>
      </c>
      <c r="D184" s="9" t="s">
        <v>27</v>
      </c>
      <c r="E184" s="21"/>
      <c r="F184" s="21"/>
      <c r="G184" s="21"/>
    </row>
    <row r="185" spans="1:7" ht="18" hidden="1">
      <c r="A185" s="10"/>
      <c r="B185" s="9"/>
      <c r="C185" s="9"/>
      <c r="D185" s="9"/>
      <c r="E185" s="20"/>
      <c r="F185" s="20"/>
      <c r="G185" s="20"/>
    </row>
    <row r="186" spans="1:7" ht="121.5" hidden="1">
      <c r="A186" s="16" t="s">
        <v>115</v>
      </c>
      <c r="B186" s="8" t="s">
        <v>57</v>
      </c>
      <c r="C186" s="8" t="s">
        <v>60</v>
      </c>
      <c r="D186" s="9"/>
      <c r="E186" s="20">
        <f>E187</f>
        <v>0</v>
      </c>
      <c r="F186" s="20">
        <f>F187</f>
        <v>0</v>
      </c>
      <c r="G186" s="20">
        <f>G187</f>
        <v>0</v>
      </c>
    </row>
    <row r="187" spans="1:7" ht="72" hidden="1">
      <c r="A187" s="10" t="s">
        <v>30</v>
      </c>
      <c r="B187" s="9" t="s">
        <v>57</v>
      </c>
      <c r="C187" s="9" t="s">
        <v>60</v>
      </c>
      <c r="D187" s="9" t="s">
        <v>31</v>
      </c>
      <c r="E187" s="21"/>
      <c r="F187" s="21"/>
      <c r="G187" s="21"/>
    </row>
    <row r="188" spans="1:7" ht="76.5" customHeight="1">
      <c r="A188" s="11" t="s">
        <v>101</v>
      </c>
      <c r="B188" s="8" t="s">
        <v>57</v>
      </c>
      <c r="C188" s="8" t="s">
        <v>135</v>
      </c>
      <c r="D188" s="8" t="s">
        <v>0</v>
      </c>
      <c r="E188" s="20">
        <f>SUM(E189:E193)</f>
        <v>140825808</v>
      </c>
      <c r="F188" s="20">
        <f>SUM(F189:F193)</f>
        <v>105517700</v>
      </c>
      <c r="G188" s="20">
        <f>SUM(G189:G193)</f>
        <v>143394226</v>
      </c>
    </row>
    <row r="189" spans="1:7" ht="144">
      <c r="A189" s="10" t="s">
        <v>5</v>
      </c>
      <c r="B189" s="9" t="s">
        <v>57</v>
      </c>
      <c r="C189" s="9" t="s">
        <v>135</v>
      </c>
      <c r="D189" s="9" t="s">
        <v>6</v>
      </c>
      <c r="E189" s="21">
        <f>104605566+29504134</f>
        <v>134109700</v>
      </c>
      <c r="F189" s="21">
        <f>77208456+21776744</f>
        <v>98985200</v>
      </c>
      <c r="G189" s="21">
        <f>79055496+22297704+197600+300000</f>
        <v>101850800</v>
      </c>
    </row>
    <row r="190" spans="1:7" ht="53.25" customHeight="1">
      <c r="A190" s="10" t="s">
        <v>9</v>
      </c>
      <c r="B190" s="9" t="s">
        <v>57</v>
      </c>
      <c r="C190" s="9" t="s">
        <v>135</v>
      </c>
      <c r="D190" s="9" t="s">
        <v>10</v>
      </c>
      <c r="E190" s="21">
        <f>6532500</f>
        <v>6532500</v>
      </c>
      <c r="F190" s="21">
        <f>6532500</f>
        <v>6532500</v>
      </c>
      <c r="G190" s="21">
        <f>4884260+6532500+5127000+962000+4502800+19397806</f>
        <v>41406366</v>
      </c>
    </row>
    <row r="191" spans="1:7" ht="36.75" customHeight="1">
      <c r="A191" s="10" t="s">
        <v>32</v>
      </c>
      <c r="B191" s="9" t="s">
        <v>57</v>
      </c>
      <c r="C191" s="9" t="s">
        <v>135</v>
      </c>
      <c r="D191" s="9" t="s">
        <v>33</v>
      </c>
      <c r="E191" s="21"/>
      <c r="F191" s="21"/>
      <c r="G191" s="21">
        <f>137060</f>
        <v>137060</v>
      </c>
    </row>
    <row r="192" spans="1:7" ht="72" hidden="1">
      <c r="A192" s="10" t="s">
        <v>26</v>
      </c>
      <c r="B192" s="9" t="s">
        <v>57</v>
      </c>
      <c r="C192" s="9" t="s">
        <v>135</v>
      </c>
      <c r="D192" s="9" t="s">
        <v>27</v>
      </c>
      <c r="E192" s="21"/>
      <c r="F192" s="21"/>
      <c r="G192" s="21"/>
    </row>
    <row r="193" spans="1:7" ht="24" customHeight="1">
      <c r="A193" s="10" t="s">
        <v>12</v>
      </c>
      <c r="B193" s="9" t="s">
        <v>57</v>
      </c>
      <c r="C193" s="9" t="s">
        <v>135</v>
      </c>
      <c r="D193" s="9" t="s">
        <v>13</v>
      </c>
      <c r="E193" s="21">
        <f>183608</f>
        <v>183608</v>
      </c>
      <c r="F193" s="21"/>
      <c r="G193" s="21"/>
    </row>
    <row r="194" spans="1:7" ht="40.5" customHeight="1">
      <c r="A194" s="11" t="s">
        <v>168</v>
      </c>
      <c r="B194" s="8" t="s">
        <v>167</v>
      </c>
      <c r="C194" s="9"/>
      <c r="D194" s="9"/>
      <c r="E194" s="20">
        <f>E195+E206+E209</f>
        <v>17629017</v>
      </c>
      <c r="F194" s="20">
        <f>F195+F206+F209</f>
        <v>17424554</v>
      </c>
      <c r="G194" s="20">
        <f>G195+G206+G209</f>
        <v>17078554</v>
      </c>
    </row>
    <row r="195" spans="1:7" ht="99" customHeight="1">
      <c r="A195" s="11" t="s">
        <v>182</v>
      </c>
      <c r="B195" s="8" t="s">
        <v>167</v>
      </c>
      <c r="C195" s="8" t="s">
        <v>155</v>
      </c>
      <c r="D195" s="9"/>
      <c r="E195" s="20">
        <f>E199+E196+E203</f>
        <v>5627129</v>
      </c>
      <c r="F195" s="20">
        <f>F199+F196+F203</f>
        <v>5525666</v>
      </c>
      <c r="G195" s="20">
        <f>G199+G196+G203</f>
        <v>0</v>
      </c>
    </row>
    <row r="196" spans="1:7" ht="99" customHeight="1">
      <c r="A196" s="27" t="s">
        <v>190</v>
      </c>
      <c r="B196" s="8" t="s">
        <v>167</v>
      </c>
      <c r="C196" s="8" t="s">
        <v>188</v>
      </c>
      <c r="D196" s="8"/>
      <c r="E196" s="20">
        <f>SUM(E197:E198)</f>
        <v>1770651</v>
      </c>
      <c r="F196" s="20">
        <f>SUM(F197:F198)</f>
        <v>1745566</v>
      </c>
      <c r="G196" s="20">
        <f>SUM(G197:G198)</f>
        <v>0</v>
      </c>
    </row>
    <row r="197" spans="1:7" ht="129" customHeight="1">
      <c r="A197" s="10" t="s">
        <v>5</v>
      </c>
      <c r="B197" s="9" t="s">
        <v>167</v>
      </c>
      <c r="C197" s="9" t="s">
        <v>189</v>
      </c>
      <c r="D197" s="9" t="s">
        <v>6</v>
      </c>
      <c r="E197" s="21">
        <f>1658639</f>
        <v>1658639</v>
      </c>
      <c r="F197" s="21">
        <f>1658639</f>
        <v>1658639</v>
      </c>
      <c r="G197" s="21"/>
    </row>
    <row r="198" spans="1:7" ht="99" customHeight="1">
      <c r="A198" s="10" t="s">
        <v>9</v>
      </c>
      <c r="B198" s="9" t="s">
        <v>167</v>
      </c>
      <c r="C198" s="9" t="s">
        <v>188</v>
      </c>
      <c r="D198" s="9" t="s">
        <v>10</v>
      </c>
      <c r="E198" s="21">
        <f>112012</f>
        <v>112012</v>
      </c>
      <c r="F198" s="21">
        <f>86927</f>
        <v>86927</v>
      </c>
      <c r="G198" s="21"/>
    </row>
    <row r="199" spans="1:7" ht="61.5" customHeight="1">
      <c r="A199" s="11" t="s">
        <v>191</v>
      </c>
      <c r="B199" s="8" t="s">
        <v>167</v>
      </c>
      <c r="C199" s="8" t="s">
        <v>156</v>
      </c>
      <c r="D199" s="9"/>
      <c r="E199" s="20">
        <f>E200+E201+E202</f>
        <v>768778</v>
      </c>
      <c r="F199" s="20">
        <f>F200+F201+F202</f>
        <v>692400</v>
      </c>
      <c r="G199" s="20">
        <f>G200+G201+G202</f>
        <v>0</v>
      </c>
    </row>
    <row r="200" spans="1:7" ht="144">
      <c r="A200" s="10" t="s">
        <v>5</v>
      </c>
      <c r="B200" s="9" t="s">
        <v>167</v>
      </c>
      <c r="C200" s="9" t="s">
        <v>156</v>
      </c>
      <c r="D200" s="9" t="s">
        <v>6</v>
      </c>
      <c r="E200" s="21">
        <f>61096+549863</f>
        <v>610959</v>
      </c>
      <c r="F200" s="21">
        <f>549863</f>
        <v>549863</v>
      </c>
      <c r="G200" s="21"/>
    </row>
    <row r="201" spans="1:7" ht="57.75" customHeight="1">
      <c r="A201" s="10" t="s">
        <v>9</v>
      </c>
      <c r="B201" s="9" t="s">
        <v>167</v>
      </c>
      <c r="C201" s="9" t="s">
        <v>156</v>
      </c>
      <c r="D201" s="9" t="s">
        <v>10</v>
      </c>
      <c r="E201" s="21">
        <f>15282+142537</f>
        <v>157819</v>
      </c>
      <c r="F201" s="21">
        <f>142537</f>
        <v>142537</v>
      </c>
      <c r="G201" s="21"/>
    </row>
    <row r="202" spans="1:7" ht="72" hidden="1">
      <c r="A202" s="10" t="s">
        <v>26</v>
      </c>
      <c r="B202" s="9" t="s">
        <v>167</v>
      </c>
      <c r="C202" s="9" t="s">
        <v>156</v>
      </c>
      <c r="D202" s="9" t="s">
        <v>27</v>
      </c>
      <c r="E202" s="21"/>
      <c r="F202" s="21"/>
      <c r="G202" s="21"/>
    </row>
    <row r="203" spans="1:7" ht="87">
      <c r="A203" s="26" t="s">
        <v>197</v>
      </c>
      <c r="B203" s="8" t="s">
        <v>167</v>
      </c>
      <c r="C203" s="8" t="s">
        <v>198</v>
      </c>
      <c r="D203" s="9"/>
      <c r="E203" s="20">
        <f>SUM(E204:E205)</f>
        <v>3087700</v>
      </c>
      <c r="F203" s="20">
        <f>SUM(F204:F205)</f>
        <v>3087700</v>
      </c>
      <c r="G203" s="20">
        <f>SUM(G204:G205)</f>
        <v>0</v>
      </c>
    </row>
    <row r="204" spans="1:7" ht="126.75" customHeight="1">
      <c r="A204" s="10" t="s">
        <v>5</v>
      </c>
      <c r="B204" s="9" t="s">
        <v>167</v>
      </c>
      <c r="C204" s="9" t="s">
        <v>198</v>
      </c>
      <c r="D204" s="9" t="s">
        <v>6</v>
      </c>
      <c r="E204" s="21">
        <f>3087700</f>
        <v>3087700</v>
      </c>
      <c r="F204" s="21">
        <v>3087700</v>
      </c>
      <c r="G204" s="21"/>
    </row>
    <row r="205" spans="1:7" ht="54" hidden="1">
      <c r="A205" s="10" t="s">
        <v>9</v>
      </c>
      <c r="B205" s="9" t="s">
        <v>167</v>
      </c>
      <c r="C205" s="9" t="s">
        <v>198</v>
      </c>
      <c r="D205" s="9" t="s">
        <v>10</v>
      </c>
      <c r="E205" s="21"/>
      <c r="F205" s="21"/>
      <c r="G205" s="21"/>
    </row>
    <row r="206" spans="1:7" ht="111" customHeight="1">
      <c r="A206" s="26" t="s">
        <v>183</v>
      </c>
      <c r="B206" s="8" t="s">
        <v>167</v>
      </c>
      <c r="C206" s="8" t="s">
        <v>164</v>
      </c>
      <c r="D206" s="8"/>
      <c r="E206" s="20">
        <f>E208+E207</f>
        <v>12001888</v>
      </c>
      <c r="F206" s="20">
        <f>F208+F207</f>
        <v>11898888</v>
      </c>
      <c r="G206" s="20">
        <f>G208+G207</f>
        <v>0</v>
      </c>
    </row>
    <row r="207" spans="1:7" ht="111" customHeight="1">
      <c r="A207" s="10" t="s">
        <v>5</v>
      </c>
      <c r="B207" s="9" t="s">
        <v>167</v>
      </c>
      <c r="C207" s="9" t="s">
        <v>164</v>
      </c>
      <c r="D207" s="9" t="s">
        <v>6</v>
      </c>
      <c r="E207" s="21">
        <f>11283095</f>
        <v>11283095</v>
      </c>
      <c r="F207" s="21">
        <f>11283095</f>
        <v>11283095</v>
      </c>
      <c r="G207" s="21"/>
    </row>
    <row r="208" spans="1:7" ht="54">
      <c r="A208" s="10" t="s">
        <v>9</v>
      </c>
      <c r="B208" s="9" t="s">
        <v>167</v>
      </c>
      <c r="C208" s="9" t="s">
        <v>164</v>
      </c>
      <c r="D208" s="9" t="s">
        <v>10</v>
      </c>
      <c r="E208" s="21">
        <f>718793</f>
        <v>718793</v>
      </c>
      <c r="F208" s="21">
        <f>615793</f>
        <v>615793</v>
      </c>
      <c r="G208" s="21"/>
    </row>
    <row r="209" spans="1:7" ht="75" customHeight="1">
      <c r="A209" s="11" t="s">
        <v>101</v>
      </c>
      <c r="B209" s="8" t="s">
        <v>167</v>
      </c>
      <c r="C209" s="8" t="s">
        <v>149</v>
      </c>
      <c r="D209" s="9"/>
      <c r="E209" s="20">
        <f>E210+E211+E212+E213</f>
        <v>0</v>
      </c>
      <c r="F209" s="20">
        <f>F210+F211+F212+F213</f>
        <v>0</v>
      </c>
      <c r="G209" s="20">
        <f>G210+G211+G212+G213</f>
        <v>17078554</v>
      </c>
    </row>
    <row r="210" spans="1:7" ht="144">
      <c r="A210" s="10" t="s">
        <v>5</v>
      </c>
      <c r="B210" s="9" t="s">
        <v>167</v>
      </c>
      <c r="C210" s="9" t="s">
        <v>149</v>
      </c>
      <c r="D210" s="9" t="s">
        <v>6</v>
      </c>
      <c r="E210" s="20"/>
      <c r="F210" s="21"/>
      <c r="G210" s="21">
        <f>1312639+3087700+11283095+549863</f>
        <v>16233297</v>
      </c>
    </row>
    <row r="211" spans="1:7" ht="53.25" customHeight="1">
      <c r="A211" s="10" t="s">
        <v>9</v>
      </c>
      <c r="B211" s="9" t="s">
        <v>167</v>
      </c>
      <c r="C211" s="9" t="s">
        <v>149</v>
      </c>
      <c r="D211" s="9" t="s">
        <v>10</v>
      </c>
      <c r="E211" s="21"/>
      <c r="F211" s="21"/>
      <c r="G211" s="21">
        <f>86927+615793+142537</f>
        <v>845257</v>
      </c>
    </row>
    <row r="212" spans="1:7" ht="89.25" customHeight="1" hidden="1">
      <c r="A212" s="10" t="s">
        <v>26</v>
      </c>
      <c r="B212" s="9" t="s">
        <v>167</v>
      </c>
      <c r="C212" s="9" t="s">
        <v>149</v>
      </c>
      <c r="D212" s="9" t="s">
        <v>27</v>
      </c>
      <c r="E212" s="21"/>
      <c r="F212" s="21"/>
      <c r="G212" s="21"/>
    </row>
    <row r="213" spans="1:7" ht="24" customHeight="1" hidden="1">
      <c r="A213" s="10" t="s">
        <v>12</v>
      </c>
      <c r="B213" s="9" t="s">
        <v>167</v>
      </c>
      <c r="C213" s="9" t="s">
        <v>149</v>
      </c>
      <c r="D213" s="9" t="s">
        <v>13</v>
      </c>
      <c r="E213" s="21"/>
      <c r="F213" s="21"/>
      <c r="G213" s="21"/>
    </row>
    <row r="214" spans="1:7" ht="62.25" customHeight="1">
      <c r="A214" s="16" t="s">
        <v>127</v>
      </c>
      <c r="B214" s="8" t="s">
        <v>126</v>
      </c>
      <c r="C214" s="8"/>
      <c r="D214" s="8"/>
      <c r="E214" s="20">
        <f>E215+E217</f>
        <v>60000</v>
      </c>
      <c r="F214" s="20">
        <f aca="true" t="shared" si="7" ref="E214:G215">F215</f>
        <v>0</v>
      </c>
      <c r="G214" s="20">
        <f t="shared" si="7"/>
        <v>0</v>
      </c>
    </row>
    <row r="215" spans="1:7" ht="114" customHeight="1">
      <c r="A215" s="16" t="s">
        <v>175</v>
      </c>
      <c r="B215" s="8" t="s">
        <v>126</v>
      </c>
      <c r="C215" s="8" t="s">
        <v>140</v>
      </c>
      <c r="D215" s="8"/>
      <c r="E215" s="20">
        <f t="shared" si="7"/>
        <v>60000</v>
      </c>
      <c r="F215" s="20">
        <f t="shared" si="7"/>
        <v>0</v>
      </c>
      <c r="G215" s="20">
        <f t="shared" si="7"/>
        <v>0</v>
      </c>
    </row>
    <row r="216" spans="1:7" ht="53.25" customHeight="1">
      <c r="A216" s="10" t="s">
        <v>9</v>
      </c>
      <c r="B216" s="9" t="s">
        <v>126</v>
      </c>
      <c r="C216" s="9" t="s">
        <v>140</v>
      </c>
      <c r="D216" s="9" t="s">
        <v>10</v>
      </c>
      <c r="E216" s="21">
        <v>60000</v>
      </c>
      <c r="F216" s="21"/>
      <c r="G216" s="21"/>
    </row>
    <row r="217" spans="1:7" ht="138.75" hidden="1">
      <c r="A217" s="11" t="s">
        <v>177</v>
      </c>
      <c r="B217" s="8" t="s">
        <v>126</v>
      </c>
      <c r="C217" s="8" t="s">
        <v>136</v>
      </c>
      <c r="D217" s="8"/>
      <c r="E217" s="20">
        <f>E218</f>
        <v>0</v>
      </c>
      <c r="F217" s="20">
        <f>F218</f>
        <v>0</v>
      </c>
      <c r="G217" s="20">
        <f>G218</f>
        <v>0</v>
      </c>
    </row>
    <row r="218" spans="1:7" ht="54" hidden="1">
      <c r="A218" s="10" t="s">
        <v>9</v>
      </c>
      <c r="B218" s="9" t="s">
        <v>126</v>
      </c>
      <c r="C218" s="9" t="s">
        <v>136</v>
      </c>
      <c r="D218" s="9" t="s">
        <v>10</v>
      </c>
      <c r="E218" s="21"/>
      <c r="F218" s="21"/>
      <c r="G218" s="21"/>
    </row>
    <row r="219" spans="1:7" ht="36" customHeight="1">
      <c r="A219" s="11" t="s">
        <v>58</v>
      </c>
      <c r="B219" s="8" t="s">
        <v>59</v>
      </c>
      <c r="C219" s="8" t="s">
        <v>0</v>
      </c>
      <c r="D219" s="8" t="s">
        <v>0</v>
      </c>
      <c r="E219" s="20">
        <f>E223+E229+E220+E227</f>
        <v>3567077</v>
      </c>
      <c r="F219" s="20">
        <f>F223+F229+F220</f>
        <v>3437441</v>
      </c>
      <c r="G219" s="20">
        <f>G223+G229+G220</f>
        <v>3437441</v>
      </c>
    </row>
    <row r="220" spans="1:7" ht="79.5" customHeight="1" hidden="1">
      <c r="A220" s="16" t="s">
        <v>182</v>
      </c>
      <c r="B220" s="8" t="s">
        <v>59</v>
      </c>
      <c r="C220" s="8" t="s">
        <v>139</v>
      </c>
      <c r="D220" s="8"/>
      <c r="E220" s="20">
        <f aca="true" t="shared" si="8" ref="E220:G221">E221</f>
        <v>0</v>
      </c>
      <c r="F220" s="20">
        <f t="shared" si="8"/>
        <v>0</v>
      </c>
      <c r="G220" s="20">
        <f t="shared" si="8"/>
        <v>0</v>
      </c>
    </row>
    <row r="221" spans="1:7" ht="59.25" customHeight="1" hidden="1">
      <c r="A221" s="16" t="s">
        <v>191</v>
      </c>
      <c r="B221" s="8" t="s">
        <v>59</v>
      </c>
      <c r="C221" s="8" t="s">
        <v>157</v>
      </c>
      <c r="D221" s="8"/>
      <c r="E221" s="20">
        <f t="shared" si="8"/>
        <v>0</v>
      </c>
      <c r="F221" s="20">
        <f t="shared" si="8"/>
        <v>0</v>
      </c>
      <c r="G221" s="20">
        <f t="shared" si="8"/>
        <v>0</v>
      </c>
    </row>
    <row r="222" spans="1:7" ht="54" hidden="1">
      <c r="A222" s="10" t="s">
        <v>9</v>
      </c>
      <c r="B222" s="9" t="s">
        <v>59</v>
      </c>
      <c r="C222" s="9" t="s">
        <v>157</v>
      </c>
      <c r="D222" s="9" t="s">
        <v>10</v>
      </c>
      <c r="E222" s="21"/>
      <c r="F222" s="21"/>
      <c r="G222" s="21"/>
    </row>
    <row r="223" spans="1:7" ht="114" customHeight="1">
      <c r="A223" s="16" t="s">
        <v>184</v>
      </c>
      <c r="B223" s="8" t="s">
        <v>59</v>
      </c>
      <c r="C223" s="8" t="s">
        <v>141</v>
      </c>
      <c r="D223" s="8" t="s">
        <v>0</v>
      </c>
      <c r="E223" s="20">
        <f>SUM(E224:E226)</f>
        <v>3566689</v>
      </c>
      <c r="F223" s="20">
        <f>SUM(F224:F226)</f>
        <v>3437441</v>
      </c>
      <c r="G223" s="20">
        <f>SUM(G224:G226)</f>
        <v>0</v>
      </c>
    </row>
    <row r="224" spans="1:7" ht="126" customHeight="1">
      <c r="A224" s="10" t="s">
        <v>5</v>
      </c>
      <c r="B224" s="9" t="s">
        <v>59</v>
      </c>
      <c r="C224" s="9" t="s">
        <v>141</v>
      </c>
      <c r="D224" s="9" t="s">
        <v>6</v>
      </c>
      <c r="E224" s="21">
        <f>3228079</f>
        <v>3228079</v>
      </c>
      <c r="F224" s="21">
        <f>3228079</f>
        <v>3228079</v>
      </c>
      <c r="G224" s="21"/>
    </row>
    <row r="225" spans="1:7" ht="54" customHeight="1">
      <c r="A225" s="10" t="s">
        <v>9</v>
      </c>
      <c r="B225" s="9" t="s">
        <v>59</v>
      </c>
      <c r="C225" s="9" t="s">
        <v>141</v>
      </c>
      <c r="D225" s="9" t="s">
        <v>10</v>
      </c>
      <c r="E225" s="21">
        <f>338610</f>
        <v>338610</v>
      </c>
      <c r="F225" s="21">
        <f>209362</f>
        <v>209362</v>
      </c>
      <c r="G225" s="21"/>
    </row>
    <row r="226" spans="1:7" ht="18" hidden="1">
      <c r="A226" s="10" t="s">
        <v>12</v>
      </c>
      <c r="B226" s="9" t="s">
        <v>59</v>
      </c>
      <c r="C226" s="9" t="s">
        <v>159</v>
      </c>
      <c r="D226" s="9" t="s">
        <v>13</v>
      </c>
      <c r="E226" s="21"/>
      <c r="F226" s="21"/>
      <c r="G226" s="21"/>
    </row>
    <row r="227" spans="1:7" ht="0" customHeight="1" hidden="1">
      <c r="A227" s="11" t="s">
        <v>151</v>
      </c>
      <c r="B227" s="8" t="s">
        <v>59</v>
      </c>
      <c r="C227" s="8" t="s">
        <v>152</v>
      </c>
      <c r="D227" s="8"/>
      <c r="E227" s="20">
        <f>E228</f>
        <v>0</v>
      </c>
      <c r="F227" s="20">
        <f>F228</f>
        <v>0</v>
      </c>
      <c r="G227" s="20">
        <f>G228</f>
        <v>0</v>
      </c>
    </row>
    <row r="228" spans="1:7" ht="54" hidden="1">
      <c r="A228" s="10" t="s">
        <v>9</v>
      </c>
      <c r="B228" s="9" t="s">
        <v>59</v>
      </c>
      <c r="C228" s="9" t="s">
        <v>152</v>
      </c>
      <c r="D228" s="9" t="s">
        <v>10</v>
      </c>
      <c r="E228" s="21"/>
      <c r="F228" s="21"/>
      <c r="G228" s="21"/>
    </row>
    <row r="229" spans="1:7" ht="84" customHeight="1">
      <c r="A229" s="11" t="s">
        <v>101</v>
      </c>
      <c r="B229" s="8" t="s">
        <v>59</v>
      </c>
      <c r="C229" s="8" t="s">
        <v>135</v>
      </c>
      <c r="D229" s="8" t="s">
        <v>0</v>
      </c>
      <c r="E229" s="20">
        <f>SUM(E230:E233)</f>
        <v>388</v>
      </c>
      <c r="F229" s="20">
        <f>SUM(F230:F233)</f>
        <v>0</v>
      </c>
      <c r="G229" s="20">
        <f>SUM(G230:G233)</f>
        <v>3437441</v>
      </c>
    </row>
    <row r="230" spans="1:7" ht="144">
      <c r="A230" s="10" t="s">
        <v>5</v>
      </c>
      <c r="B230" s="9" t="s">
        <v>59</v>
      </c>
      <c r="C230" s="9" t="s">
        <v>135</v>
      </c>
      <c r="D230" s="9" t="s">
        <v>6</v>
      </c>
      <c r="E230" s="21"/>
      <c r="F230" s="21"/>
      <c r="G230" s="21">
        <f>3228079</f>
        <v>3228079</v>
      </c>
    </row>
    <row r="231" spans="1:7" ht="54">
      <c r="A231" s="10" t="s">
        <v>9</v>
      </c>
      <c r="B231" s="9" t="s">
        <v>59</v>
      </c>
      <c r="C231" s="9" t="s">
        <v>135</v>
      </c>
      <c r="D231" s="9" t="s">
        <v>10</v>
      </c>
      <c r="E231" s="21"/>
      <c r="F231" s="21"/>
      <c r="G231" s="21">
        <f>209362</f>
        <v>209362</v>
      </c>
    </row>
    <row r="232" spans="1:7" ht="36" hidden="1">
      <c r="A232" s="10" t="s">
        <v>32</v>
      </c>
      <c r="B232" s="9" t="s">
        <v>59</v>
      </c>
      <c r="C232" s="9" t="s">
        <v>135</v>
      </c>
      <c r="D232" s="9" t="s">
        <v>33</v>
      </c>
      <c r="E232" s="21"/>
      <c r="F232" s="21"/>
      <c r="G232" s="21"/>
    </row>
    <row r="233" spans="1:7" ht="37.5" customHeight="1">
      <c r="A233" s="10" t="s">
        <v>12</v>
      </c>
      <c r="B233" s="9" t="s">
        <v>59</v>
      </c>
      <c r="C233" s="9" t="s">
        <v>135</v>
      </c>
      <c r="D233" s="9" t="s">
        <v>13</v>
      </c>
      <c r="E233" s="21">
        <f>388</f>
        <v>388</v>
      </c>
      <c r="F233" s="21"/>
      <c r="G233" s="21"/>
    </row>
    <row r="234" spans="1:7" ht="34.5">
      <c r="A234" s="11" t="s">
        <v>61</v>
      </c>
      <c r="B234" s="8" t="s">
        <v>62</v>
      </c>
      <c r="C234" s="8" t="s">
        <v>0</v>
      </c>
      <c r="D234" s="8" t="s">
        <v>0</v>
      </c>
      <c r="E234" s="20">
        <f>E239+E267+E235+E264+E259+E261</f>
        <v>14747705</v>
      </c>
      <c r="F234" s="20">
        <f>F239+F267+F235+F264+F259+F261</f>
        <v>12788197</v>
      </c>
      <c r="G234" s="20">
        <f>G239+G267+G235+G264+G259+G261</f>
        <v>12763897</v>
      </c>
    </row>
    <row r="235" spans="1:7" ht="147" customHeight="1">
      <c r="A235" s="11" t="s">
        <v>176</v>
      </c>
      <c r="B235" s="8" t="s">
        <v>62</v>
      </c>
      <c r="C235" s="8" t="s">
        <v>134</v>
      </c>
      <c r="D235" s="8"/>
      <c r="E235" s="20">
        <f>SUM(E236:E238)</f>
        <v>3300297</v>
      </c>
      <c r="F235" s="20">
        <f>SUM(F236:F238)</f>
        <v>3173297</v>
      </c>
      <c r="G235" s="20">
        <f>SUM(G236:G238)</f>
        <v>0</v>
      </c>
    </row>
    <row r="236" spans="1:7" ht="129" customHeight="1">
      <c r="A236" s="10" t="s">
        <v>5</v>
      </c>
      <c r="B236" s="9" t="s">
        <v>62</v>
      </c>
      <c r="C236" s="9" t="s">
        <v>134</v>
      </c>
      <c r="D236" s="9" t="s">
        <v>6</v>
      </c>
      <c r="E236" s="21">
        <f>3172297</f>
        <v>3172297</v>
      </c>
      <c r="F236" s="21">
        <f>3172297</f>
        <v>3172297</v>
      </c>
      <c r="G236" s="21"/>
    </row>
    <row r="237" spans="1:7" ht="54">
      <c r="A237" s="10" t="s">
        <v>9</v>
      </c>
      <c r="B237" s="9" t="s">
        <v>62</v>
      </c>
      <c r="C237" s="9" t="s">
        <v>134</v>
      </c>
      <c r="D237" s="9" t="s">
        <v>10</v>
      </c>
      <c r="E237" s="21">
        <f>128000</f>
        <v>128000</v>
      </c>
      <c r="F237" s="21">
        <f>1000</f>
        <v>1000</v>
      </c>
      <c r="G237" s="21"/>
    </row>
    <row r="238" spans="1:7" ht="36" hidden="1">
      <c r="A238" s="10" t="s">
        <v>32</v>
      </c>
      <c r="B238" s="9" t="s">
        <v>62</v>
      </c>
      <c r="C238" s="9" t="s">
        <v>134</v>
      </c>
      <c r="D238" s="9" t="s">
        <v>33</v>
      </c>
      <c r="E238" s="21"/>
      <c r="F238" s="21"/>
      <c r="G238" s="21"/>
    </row>
    <row r="239" spans="1:7" ht="93" customHeight="1">
      <c r="A239" s="11" t="s">
        <v>182</v>
      </c>
      <c r="B239" s="8" t="s">
        <v>62</v>
      </c>
      <c r="C239" s="8" t="s">
        <v>139</v>
      </c>
      <c r="D239" s="8" t="s">
        <v>0</v>
      </c>
      <c r="E239" s="20">
        <f>E240+E243+E246+E249+E253+E256</f>
        <v>2927808</v>
      </c>
      <c r="F239" s="20">
        <f>F240+F243+F246+F249+F253+F256</f>
        <v>1506600</v>
      </c>
      <c r="G239" s="20">
        <f>G240+G243+G246+G249+G253+G256</f>
        <v>0</v>
      </c>
    </row>
    <row r="240" spans="1:7" ht="0.75" customHeight="1" hidden="1">
      <c r="A240" s="16" t="s">
        <v>103</v>
      </c>
      <c r="B240" s="8" t="s">
        <v>62</v>
      </c>
      <c r="C240" s="8" t="s">
        <v>109</v>
      </c>
      <c r="D240" s="8"/>
      <c r="E240" s="20">
        <f>SUM(E241:E242)</f>
        <v>0</v>
      </c>
      <c r="F240" s="20">
        <f>SUM(F241:F242)</f>
        <v>0</v>
      </c>
      <c r="G240" s="20">
        <f>SUM(G241:G242)</f>
        <v>0</v>
      </c>
    </row>
    <row r="241" spans="1:7" ht="54" hidden="1">
      <c r="A241" s="10" t="s">
        <v>9</v>
      </c>
      <c r="B241" s="9" t="s">
        <v>62</v>
      </c>
      <c r="C241" s="9" t="s">
        <v>109</v>
      </c>
      <c r="D241" s="9" t="s">
        <v>10</v>
      </c>
      <c r="E241" s="20"/>
      <c r="F241" s="20"/>
      <c r="G241" s="20"/>
    </row>
    <row r="242" spans="1:7" ht="72" hidden="1">
      <c r="A242" s="10" t="s">
        <v>26</v>
      </c>
      <c r="B242" s="9" t="s">
        <v>62</v>
      </c>
      <c r="C242" s="9" t="s">
        <v>109</v>
      </c>
      <c r="D242" s="9" t="s">
        <v>27</v>
      </c>
      <c r="E242" s="20"/>
      <c r="F242" s="20"/>
      <c r="G242" s="20"/>
    </row>
    <row r="243" spans="1:7" ht="46.5" customHeight="1" hidden="1">
      <c r="A243" s="16" t="s">
        <v>104</v>
      </c>
      <c r="B243" s="8" t="s">
        <v>62</v>
      </c>
      <c r="C243" s="8" t="s">
        <v>40</v>
      </c>
      <c r="D243" s="8"/>
      <c r="E243" s="20">
        <f>SUM(E244:E245)</f>
        <v>0</v>
      </c>
      <c r="F243" s="20">
        <f>SUM(F244:F245)</f>
        <v>0</v>
      </c>
      <c r="G243" s="20">
        <f>SUM(G244:G245)</f>
        <v>0</v>
      </c>
    </row>
    <row r="244" spans="1:7" ht="26.25" customHeight="1" hidden="1">
      <c r="A244" s="10" t="s">
        <v>9</v>
      </c>
      <c r="B244" s="9" t="s">
        <v>62</v>
      </c>
      <c r="C244" s="9" t="s">
        <v>40</v>
      </c>
      <c r="D244" s="9" t="s">
        <v>10</v>
      </c>
      <c r="E244" s="20"/>
      <c r="F244" s="20"/>
      <c r="G244" s="20"/>
    </row>
    <row r="245" spans="1:7" ht="26.25" customHeight="1" hidden="1">
      <c r="A245" s="10" t="s">
        <v>26</v>
      </c>
      <c r="B245" s="9" t="s">
        <v>62</v>
      </c>
      <c r="C245" s="9" t="s">
        <v>40</v>
      </c>
      <c r="D245" s="9" t="s">
        <v>27</v>
      </c>
      <c r="E245" s="20"/>
      <c r="F245" s="20"/>
      <c r="G245" s="20"/>
    </row>
    <row r="246" spans="1:7" ht="27.75" customHeight="1" hidden="1">
      <c r="A246" s="16" t="s">
        <v>105</v>
      </c>
      <c r="B246" s="8" t="s">
        <v>62</v>
      </c>
      <c r="C246" s="8" t="s">
        <v>110</v>
      </c>
      <c r="D246" s="8"/>
      <c r="E246" s="20">
        <f>SUM(E247:E248)</f>
        <v>0</v>
      </c>
      <c r="F246" s="20">
        <f>SUM(F247:F248)</f>
        <v>0</v>
      </c>
      <c r="G246" s="20">
        <f>SUM(G247:G248)</f>
        <v>0</v>
      </c>
    </row>
    <row r="247" spans="1:7" ht="18" customHeight="1" hidden="1">
      <c r="A247" s="10" t="s">
        <v>9</v>
      </c>
      <c r="B247" s="9" t="s">
        <v>62</v>
      </c>
      <c r="C247" s="9" t="s">
        <v>110</v>
      </c>
      <c r="D247" s="9" t="s">
        <v>10</v>
      </c>
      <c r="E247" s="20"/>
      <c r="F247" s="20"/>
      <c r="G247" s="20"/>
    </row>
    <row r="248" spans="1:7" ht="19.5" customHeight="1" hidden="1">
      <c r="A248" s="10" t="s">
        <v>26</v>
      </c>
      <c r="B248" s="9" t="s">
        <v>62</v>
      </c>
      <c r="C248" s="9" t="s">
        <v>110</v>
      </c>
      <c r="D248" s="9" t="s">
        <v>27</v>
      </c>
      <c r="E248" s="20"/>
      <c r="F248" s="20"/>
      <c r="G248" s="20"/>
    </row>
    <row r="249" spans="1:7" ht="78" customHeight="1">
      <c r="A249" s="11" t="s">
        <v>190</v>
      </c>
      <c r="B249" s="8" t="s">
        <v>62</v>
      </c>
      <c r="C249" s="8" t="s">
        <v>188</v>
      </c>
      <c r="D249" s="8"/>
      <c r="E249" s="20">
        <f>SUM(E250:E251)+E252</f>
        <v>1239430</v>
      </c>
      <c r="F249" s="20">
        <f>SUM(F250:F251)+F252</f>
        <v>0</v>
      </c>
      <c r="G249" s="20">
        <f>SUM(G250:G251)+G252</f>
        <v>0</v>
      </c>
    </row>
    <row r="250" spans="1:7" ht="144">
      <c r="A250" s="10" t="s">
        <v>5</v>
      </c>
      <c r="B250" s="9" t="s">
        <v>62</v>
      </c>
      <c r="C250" s="9" t="s">
        <v>188</v>
      </c>
      <c r="D250" s="9" t="s">
        <v>6</v>
      </c>
      <c r="E250" s="21">
        <f>50000</f>
        <v>50000</v>
      </c>
      <c r="F250" s="21"/>
      <c r="G250" s="21"/>
    </row>
    <row r="251" spans="1:7" ht="51.75" customHeight="1">
      <c r="A251" s="10" t="s">
        <v>9</v>
      </c>
      <c r="B251" s="9" t="s">
        <v>62</v>
      </c>
      <c r="C251" s="9" t="s">
        <v>188</v>
      </c>
      <c r="D251" s="9" t="s">
        <v>10</v>
      </c>
      <c r="E251" s="21">
        <f>1189430</f>
        <v>1189430</v>
      </c>
      <c r="F251" s="21"/>
      <c r="G251" s="21"/>
    </row>
    <row r="252" spans="1:7" ht="72" hidden="1">
      <c r="A252" s="10" t="s">
        <v>26</v>
      </c>
      <c r="B252" s="9" t="s">
        <v>62</v>
      </c>
      <c r="C252" s="9" t="s">
        <v>188</v>
      </c>
      <c r="D252" s="9" t="s">
        <v>27</v>
      </c>
      <c r="E252" s="21"/>
      <c r="F252" s="21"/>
      <c r="G252" s="21"/>
    </row>
    <row r="253" spans="1:7" ht="51.75">
      <c r="A253" s="16" t="s">
        <v>191</v>
      </c>
      <c r="B253" s="8" t="s">
        <v>62</v>
      </c>
      <c r="C253" s="8" t="s">
        <v>157</v>
      </c>
      <c r="D253" s="8"/>
      <c r="E253" s="20">
        <f>SUM(E254:E255)</f>
        <v>1688378</v>
      </c>
      <c r="F253" s="20">
        <f>SUM(F254:F255)</f>
        <v>1506600</v>
      </c>
      <c r="G253" s="20">
        <f>SUM(G254:G255)</f>
        <v>0</v>
      </c>
    </row>
    <row r="254" spans="1:7" ht="54">
      <c r="A254" s="10" t="s">
        <v>9</v>
      </c>
      <c r="B254" s="9" t="s">
        <v>62</v>
      </c>
      <c r="C254" s="9" t="s">
        <v>157</v>
      </c>
      <c r="D254" s="9" t="s">
        <v>10</v>
      </c>
      <c r="E254" s="21">
        <f>157478+1530900</f>
        <v>1688378</v>
      </c>
      <c r="F254" s="21">
        <f>1506600</f>
        <v>1506600</v>
      </c>
      <c r="G254" s="21"/>
    </row>
    <row r="255" spans="1:7" ht="72" hidden="1">
      <c r="A255" s="10" t="s">
        <v>26</v>
      </c>
      <c r="B255" s="9" t="s">
        <v>62</v>
      </c>
      <c r="C255" s="9" t="s">
        <v>112</v>
      </c>
      <c r="D255" s="9" t="s">
        <v>27</v>
      </c>
      <c r="E255" s="20"/>
      <c r="F255" s="20"/>
      <c r="G255" s="20"/>
    </row>
    <row r="256" spans="1:7" ht="17.25" hidden="1">
      <c r="A256" s="25"/>
      <c r="B256" s="8" t="s">
        <v>62</v>
      </c>
      <c r="C256" s="8"/>
      <c r="D256" s="8"/>
      <c r="E256" s="20">
        <f>SUM(E257:E258)</f>
        <v>0</v>
      </c>
      <c r="F256" s="20">
        <f>SUM(F257:F258)</f>
        <v>0</v>
      </c>
      <c r="G256" s="20">
        <f>SUM(G257:G258)</f>
        <v>0</v>
      </c>
    </row>
    <row r="257" spans="1:7" ht="54" hidden="1">
      <c r="A257" s="10" t="s">
        <v>9</v>
      </c>
      <c r="B257" s="9" t="s">
        <v>62</v>
      </c>
      <c r="C257" s="9" t="s">
        <v>142</v>
      </c>
      <c r="D257" s="9" t="s">
        <v>10</v>
      </c>
      <c r="E257" s="21"/>
      <c r="F257" s="21"/>
      <c r="G257" s="21"/>
    </row>
    <row r="258" spans="1:7" ht="72" hidden="1">
      <c r="A258" s="10" t="s">
        <v>26</v>
      </c>
      <c r="B258" s="9" t="s">
        <v>62</v>
      </c>
      <c r="C258" s="9" t="s">
        <v>142</v>
      </c>
      <c r="D258" s="9" t="s">
        <v>27</v>
      </c>
      <c r="E258" s="21"/>
      <c r="F258" s="21"/>
      <c r="G258" s="21"/>
    </row>
    <row r="259" spans="1:7" ht="104.25">
      <c r="A259" s="11" t="s">
        <v>183</v>
      </c>
      <c r="B259" s="8" t="s">
        <v>62</v>
      </c>
      <c r="C259" s="8" t="s">
        <v>164</v>
      </c>
      <c r="D259" s="9"/>
      <c r="E259" s="20">
        <f>E260</f>
        <v>88800</v>
      </c>
      <c r="F259" s="20">
        <f>F260</f>
        <v>0</v>
      </c>
      <c r="G259" s="20">
        <f>G260</f>
        <v>0</v>
      </c>
    </row>
    <row r="260" spans="1:7" ht="54">
      <c r="A260" s="10" t="s">
        <v>9</v>
      </c>
      <c r="B260" s="9" t="s">
        <v>62</v>
      </c>
      <c r="C260" s="9" t="s">
        <v>164</v>
      </c>
      <c r="D260" s="9" t="s">
        <v>10</v>
      </c>
      <c r="E260" s="21">
        <f>88800</f>
        <v>88800</v>
      </c>
      <c r="F260" s="21"/>
      <c r="G260" s="21"/>
    </row>
    <row r="261" spans="1:7" ht="150" customHeight="1">
      <c r="A261" s="11" t="s">
        <v>179</v>
      </c>
      <c r="B261" s="8" t="s">
        <v>62</v>
      </c>
      <c r="C261" s="8" t="s">
        <v>161</v>
      </c>
      <c r="D261" s="8"/>
      <c r="E261" s="20">
        <f>SUM(E262:E263)</f>
        <v>8424800</v>
      </c>
      <c r="F261" s="20">
        <f>SUM(F262:F263)</f>
        <v>8108300</v>
      </c>
      <c r="G261" s="20">
        <f>SUM(G262:G263)</f>
        <v>0</v>
      </c>
    </row>
    <row r="262" spans="1:7" ht="132.75" customHeight="1">
      <c r="A262" s="10" t="s">
        <v>5</v>
      </c>
      <c r="B262" s="9" t="s">
        <v>62</v>
      </c>
      <c r="C262" s="9" t="s">
        <v>161</v>
      </c>
      <c r="D262" s="9" t="s">
        <v>6</v>
      </c>
      <c r="E262" s="21">
        <f>7716102</f>
        <v>7716102</v>
      </c>
      <c r="F262" s="21">
        <f>7716102</f>
        <v>7716102</v>
      </c>
      <c r="G262" s="21"/>
    </row>
    <row r="263" spans="1:7" ht="54">
      <c r="A263" s="10" t="s">
        <v>9</v>
      </c>
      <c r="B263" s="9" t="s">
        <v>62</v>
      </c>
      <c r="C263" s="9" t="s">
        <v>161</v>
      </c>
      <c r="D263" s="9" t="s">
        <v>10</v>
      </c>
      <c r="E263" s="21">
        <f>708698</f>
        <v>708698</v>
      </c>
      <c r="F263" s="21">
        <f>392198</f>
        <v>392198</v>
      </c>
      <c r="G263" s="21"/>
    </row>
    <row r="264" spans="1:7" ht="87">
      <c r="A264" s="11" t="s">
        <v>100</v>
      </c>
      <c r="B264" s="8" t="s">
        <v>62</v>
      </c>
      <c r="C264" s="8" t="s">
        <v>133</v>
      </c>
      <c r="D264" s="8" t="s">
        <v>6</v>
      </c>
      <c r="E264" s="20">
        <f>E265+E266</f>
        <v>0</v>
      </c>
      <c r="F264" s="20">
        <f>F265+F266</f>
        <v>0</v>
      </c>
      <c r="G264" s="20">
        <f>G265+G266</f>
        <v>3173297</v>
      </c>
    </row>
    <row r="265" spans="1:7" ht="144">
      <c r="A265" s="10" t="s">
        <v>5</v>
      </c>
      <c r="B265" s="9" t="s">
        <v>62</v>
      </c>
      <c r="C265" s="9" t="s">
        <v>133</v>
      </c>
      <c r="D265" s="9" t="s">
        <v>6</v>
      </c>
      <c r="E265" s="21"/>
      <c r="F265" s="21"/>
      <c r="G265" s="21">
        <f>3172297</f>
        <v>3172297</v>
      </c>
    </row>
    <row r="266" spans="1:7" ht="54">
      <c r="A266" s="10" t="s">
        <v>9</v>
      </c>
      <c r="B266" s="9" t="s">
        <v>62</v>
      </c>
      <c r="C266" s="9" t="s">
        <v>133</v>
      </c>
      <c r="D266" s="9" t="s">
        <v>10</v>
      </c>
      <c r="E266" s="21"/>
      <c r="F266" s="21"/>
      <c r="G266" s="21">
        <f>1000</f>
        <v>1000</v>
      </c>
    </row>
    <row r="267" spans="1:7" ht="71.25" customHeight="1">
      <c r="A267" s="11" t="s">
        <v>101</v>
      </c>
      <c r="B267" s="8" t="s">
        <v>62</v>
      </c>
      <c r="C267" s="8" t="s">
        <v>135</v>
      </c>
      <c r="D267" s="8" t="s">
        <v>0</v>
      </c>
      <c r="E267" s="20">
        <f>SUM(E268:E272)</f>
        <v>6000</v>
      </c>
      <c r="F267" s="20">
        <f>SUM(F268:F272)</f>
        <v>0</v>
      </c>
      <c r="G267" s="20">
        <f>SUM(G268:G272)</f>
        <v>9590600</v>
      </c>
    </row>
    <row r="268" spans="1:7" ht="144">
      <c r="A268" s="10" t="s">
        <v>5</v>
      </c>
      <c r="B268" s="9" t="s">
        <v>62</v>
      </c>
      <c r="C268" s="9" t="s">
        <v>135</v>
      </c>
      <c r="D268" s="9" t="s">
        <v>6</v>
      </c>
      <c r="E268" s="21"/>
      <c r="F268" s="21"/>
      <c r="G268" s="21">
        <f>7716102</f>
        <v>7716102</v>
      </c>
    </row>
    <row r="269" spans="1:7" ht="54">
      <c r="A269" s="10" t="s">
        <v>9</v>
      </c>
      <c r="B269" s="9" t="s">
        <v>62</v>
      </c>
      <c r="C269" s="9" t="s">
        <v>135</v>
      </c>
      <c r="D269" s="9" t="s">
        <v>10</v>
      </c>
      <c r="E269" s="21"/>
      <c r="F269" s="21"/>
      <c r="G269" s="21">
        <f>392198+1482300</f>
        <v>1874498</v>
      </c>
    </row>
    <row r="270" spans="1:7" ht="45" customHeight="1">
      <c r="A270" s="10" t="s">
        <v>32</v>
      </c>
      <c r="B270" s="9" t="s">
        <v>62</v>
      </c>
      <c r="C270" s="9" t="s">
        <v>135</v>
      </c>
      <c r="D270" s="9" t="s">
        <v>33</v>
      </c>
      <c r="E270" s="21">
        <f>6000</f>
        <v>6000</v>
      </c>
      <c r="F270" s="21"/>
      <c r="G270" s="21"/>
    </row>
    <row r="271" spans="1:7" ht="72" hidden="1">
      <c r="A271" s="10" t="s">
        <v>26</v>
      </c>
      <c r="B271" s="9" t="s">
        <v>62</v>
      </c>
      <c r="C271" s="9" t="s">
        <v>135</v>
      </c>
      <c r="D271" s="9" t="s">
        <v>27</v>
      </c>
      <c r="E271" s="21"/>
      <c r="F271" s="21"/>
      <c r="G271" s="21"/>
    </row>
    <row r="272" spans="1:7" ht="18" hidden="1">
      <c r="A272" s="10" t="s">
        <v>12</v>
      </c>
      <c r="B272" s="9" t="s">
        <v>62</v>
      </c>
      <c r="C272" s="9" t="s">
        <v>135</v>
      </c>
      <c r="D272" s="9" t="s">
        <v>13</v>
      </c>
      <c r="E272" s="21"/>
      <c r="F272" s="21"/>
      <c r="G272" s="21"/>
    </row>
    <row r="273" spans="1:7" ht="18" hidden="1">
      <c r="A273" s="10"/>
      <c r="B273" s="9"/>
      <c r="C273" s="9"/>
      <c r="D273" s="9"/>
      <c r="E273" s="20"/>
      <c r="F273" s="20"/>
      <c r="G273" s="20"/>
    </row>
    <row r="274" spans="1:7" ht="34.5">
      <c r="A274" s="11" t="s">
        <v>63</v>
      </c>
      <c r="B274" s="8" t="s">
        <v>64</v>
      </c>
      <c r="C274" s="8"/>
      <c r="D274" s="8"/>
      <c r="E274" s="20">
        <f>E275+E291</f>
        <v>41284622</v>
      </c>
      <c r="F274" s="20">
        <f>F275+F291</f>
        <v>13684126</v>
      </c>
      <c r="G274" s="20">
        <f>G275+G291</f>
        <v>13684126</v>
      </c>
    </row>
    <row r="275" spans="1:7" ht="27" customHeight="1">
      <c r="A275" s="11" t="s">
        <v>65</v>
      </c>
      <c r="B275" s="8" t="s">
        <v>66</v>
      </c>
      <c r="C275" s="8"/>
      <c r="D275" s="8"/>
      <c r="E275" s="20">
        <f>E279+E287+E285+E276</f>
        <v>32221768</v>
      </c>
      <c r="F275" s="20">
        <f>F279+F287</f>
        <v>11051891</v>
      </c>
      <c r="G275" s="20">
        <f>G279+G287</f>
        <v>11051891</v>
      </c>
    </row>
    <row r="276" spans="1:7" ht="69" hidden="1">
      <c r="A276" s="11" t="s">
        <v>182</v>
      </c>
      <c r="B276" s="8" t="s">
        <v>66</v>
      </c>
      <c r="C276" s="8" t="s">
        <v>155</v>
      </c>
      <c r="D276" s="8"/>
      <c r="E276" s="20">
        <f>E277</f>
        <v>0</v>
      </c>
      <c r="F276" s="20"/>
      <c r="G276" s="20"/>
    </row>
    <row r="277" spans="1:7" ht="51.75" hidden="1">
      <c r="A277" s="16" t="s">
        <v>191</v>
      </c>
      <c r="B277" s="8" t="s">
        <v>66</v>
      </c>
      <c r="C277" s="8" t="s">
        <v>156</v>
      </c>
      <c r="D277" s="8"/>
      <c r="E277" s="20">
        <f>E278</f>
        <v>0</v>
      </c>
      <c r="F277" s="20"/>
      <c r="G277" s="20"/>
    </row>
    <row r="278" spans="1:7" ht="54" hidden="1">
      <c r="A278" s="10" t="s">
        <v>9</v>
      </c>
      <c r="B278" s="9" t="s">
        <v>66</v>
      </c>
      <c r="C278" s="9" t="s">
        <v>156</v>
      </c>
      <c r="D278" s="9" t="s">
        <v>10</v>
      </c>
      <c r="E278" s="21"/>
      <c r="F278" s="21"/>
      <c r="G278" s="21"/>
    </row>
    <row r="279" spans="1:8" ht="108" customHeight="1">
      <c r="A279" s="11" t="s">
        <v>183</v>
      </c>
      <c r="B279" s="8" t="s">
        <v>66</v>
      </c>
      <c r="C279" s="8" t="s">
        <v>143</v>
      </c>
      <c r="D279" s="8" t="s">
        <v>0</v>
      </c>
      <c r="E279" s="20">
        <f>SUM(E280:E284)</f>
        <v>32221768</v>
      </c>
      <c r="F279" s="20">
        <f>SUM(F280:F284)</f>
        <v>11051891</v>
      </c>
      <c r="G279" s="20">
        <f>SUM(G280:G284)</f>
        <v>0</v>
      </c>
      <c r="H279" s="20"/>
    </row>
    <row r="280" spans="1:7" ht="135" customHeight="1">
      <c r="A280" s="10" t="s">
        <v>5</v>
      </c>
      <c r="B280" s="9" t="s">
        <v>66</v>
      </c>
      <c r="C280" s="9" t="s">
        <v>143</v>
      </c>
      <c r="D280" s="9" t="s">
        <v>6</v>
      </c>
      <c r="E280" s="21">
        <f>9353779+13492653</f>
        <v>22846432</v>
      </c>
      <c r="F280" s="21">
        <f>9353779</f>
        <v>9353779</v>
      </c>
      <c r="G280" s="21"/>
    </row>
    <row r="281" spans="1:7" ht="56.25" customHeight="1">
      <c r="A281" s="10" t="s">
        <v>9</v>
      </c>
      <c r="B281" s="9" t="s">
        <v>66</v>
      </c>
      <c r="C281" s="9" t="s">
        <v>143</v>
      </c>
      <c r="D281" s="9" t="s">
        <v>10</v>
      </c>
      <c r="E281" s="21">
        <f>2530069+800000+6029267+16000</f>
        <v>9375336</v>
      </c>
      <c r="F281" s="21">
        <f>1698112</f>
        <v>1698112</v>
      </c>
      <c r="G281" s="21"/>
    </row>
    <row r="282" spans="1:7" ht="31.5" customHeight="1" hidden="1">
      <c r="A282" s="10" t="s">
        <v>24</v>
      </c>
      <c r="B282" s="9" t="s">
        <v>66</v>
      </c>
      <c r="C282" s="9" t="s">
        <v>99</v>
      </c>
      <c r="D282" s="9" t="s">
        <v>25</v>
      </c>
      <c r="E282" s="21"/>
      <c r="F282" s="21"/>
      <c r="G282" s="21"/>
    </row>
    <row r="283" spans="1:7" ht="72" hidden="1">
      <c r="A283" s="10" t="s">
        <v>26</v>
      </c>
      <c r="B283" s="9" t="s">
        <v>66</v>
      </c>
      <c r="C283" s="9" t="s">
        <v>99</v>
      </c>
      <c r="D283" s="9" t="s">
        <v>27</v>
      </c>
      <c r="E283" s="21"/>
      <c r="F283" s="21"/>
      <c r="G283" s="21"/>
    </row>
    <row r="284" spans="1:7" ht="18" hidden="1">
      <c r="A284" s="10" t="s">
        <v>12</v>
      </c>
      <c r="B284" s="9" t="s">
        <v>66</v>
      </c>
      <c r="C284" s="9" t="s">
        <v>143</v>
      </c>
      <c r="D284" s="9" t="s">
        <v>13</v>
      </c>
      <c r="E284" s="21"/>
      <c r="F284" s="21"/>
      <c r="G284" s="21"/>
    </row>
    <row r="285" spans="1:7" ht="0.75" customHeight="1">
      <c r="A285" s="11" t="s">
        <v>151</v>
      </c>
      <c r="B285" s="8" t="s">
        <v>66</v>
      </c>
      <c r="C285" s="8" t="s">
        <v>152</v>
      </c>
      <c r="D285" s="8"/>
      <c r="E285" s="20">
        <f>E286</f>
        <v>0</v>
      </c>
      <c r="F285" s="20"/>
      <c r="G285" s="20"/>
    </row>
    <row r="286" spans="1:7" ht="54" hidden="1">
      <c r="A286" s="10" t="s">
        <v>9</v>
      </c>
      <c r="B286" s="9" t="s">
        <v>66</v>
      </c>
      <c r="C286" s="9" t="s">
        <v>152</v>
      </c>
      <c r="D286" s="9" t="s">
        <v>10</v>
      </c>
      <c r="E286" s="21"/>
      <c r="F286" s="21"/>
      <c r="G286" s="21"/>
    </row>
    <row r="287" spans="1:7" ht="67.5" customHeight="1">
      <c r="A287" s="11" t="s">
        <v>101</v>
      </c>
      <c r="B287" s="8" t="s">
        <v>66</v>
      </c>
      <c r="C287" s="8" t="s">
        <v>135</v>
      </c>
      <c r="D287" s="8" t="s">
        <v>0</v>
      </c>
      <c r="E287" s="20">
        <f>SUM(E288:E290)</f>
        <v>0</v>
      </c>
      <c r="F287" s="20">
        <f>SUM(F288:F290)</f>
        <v>0</v>
      </c>
      <c r="G287" s="20">
        <f>SUM(G288:G290)</f>
        <v>11051891</v>
      </c>
    </row>
    <row r="288" spans="1:7" ht="144">
      <c r="A288" s="10" t="s">
        <v>5</v>
      </c>
      <c r="B288" s="9" t="s">
        <v>66</v>
      </c>
      <c r="C288" s="9" t="s">
        <v>135</v>
      </c>
      <c r="D288" s="9" t="s">
        <v>6</v>
      </c>
      <c r="E288" s="21"/>
      <c r="F288" s="21"/>
      <c r="G288" s="21">
        <f>9353779</f>
        <v>9353779</v>
      </c>
    </row>
    <row r="289" spans="1:7" ht="60.75" customHeight="1">
      <c r="A289" s="10" t="s">
        <v>9</v>
      </c>
      <c r="B289" s="9" t="s">
        <v>66</v>
      </c>
      <c r="C289" s="9" t="s">
        <v>135</v>
      </c>
      <c r="D289" s="9" t="s">
        <v>10</v>
      </c>
      <c r="E289" s="21"/>
      <c r="F289" s="21"/>
      <c r="G289" s="21">
        <f>1698112</f>
        <v>1698112</v>
      </c>
    </row>
    <row r="290" spans="1:7" ht="18" hidden="1">
      <c r="A290" s="10" t="s">
        <v>12</v>
      </c>
      <c r="B290" s="9" t="s">
        <v>66</v>
      </c>
      <c r="C290" s="9" t="s">
        <v>135</v>
      </c>
      <c r="D290" s="9" t="s">
        <v>13</v>
      </c>
      <c r="E290" s="21"/>
      <c r="F290" s="21"/>
      <c r="G290" s="21"/>
    </row>
    <row r="291" spans="1:7" ht="39.75" customHeight="1">
      <c r="A291" s="11" t="s">
        <v>162</v>
      </c>
      <c r="B291" s="8" t="s">
        <v>163</v>
      </c>
      <c r="C291" s="9"/>
      <c r="D291" s="9"/>
      <c r="E291" s="20">
        <f>E292+E295+E298</f>
        <v>9062854</v>
      </c>
      <c r="F291" s="20">
        <f>F292+F295+F298</f>
        <v>2632235</v>
      </c>
      <c r="G291" s="20">
        <f>G292+G295+G298</f>
        <v>2632235</v>
      </c>
    </row>
    <row r="292" spans="1:7" ht="105" customHeight="1">
      <c r="A292" s="11" t="s">
        <v>183</v>
      </c>
      <c r="B292" s="8" t="s">
        <v>163</v>
      </c>
      <c r="C292" s="8" t="s">
        <v>164</v>
      </c>
      <c r="D292" s="8"/>
      <c r="E292" s="20">
        <f>E293+E294+E297</f>
        <v>9062854</v>
      </c>
      <c r="F292" s="20">
        <f>F293+F294+F297</f>
        <v>2632235</v>
      </c>
      <c r="G292" s="20">
        <f>G293+G294+G297</f>
        <v>0</v>
      </c>
    </row>
    <row r="293" spans="1:7" ht="138" customHeight="1">
      <c r="A293" s="10" t="s">
        <v>5</v>
      </c>
      <c r="B293" s="9" t="s">
        <v>163</v>
      </c>
      <c r="C293" s="9" t="s">
        <v>164</v>
      </c>
      <c r="D293" s="9" t="s">
        <v>6</v>
      </c>
      <c r="E293" s="21">
        <f>2632235+6430619</f>
        <v>9062854</v>
      </c>
      <c r="F293" s="21">
        <f>2632235</f>
        <v>2632235</v>
      </c>
      <c r="G293" s="21"/>
    </row>
    <row r="294" spans="1:7" ht="63.75" customHeight="1" hidden="1">
      <c r="A294" s="10" t="s">
        <v>9</v>
      </c>
      <c r="B294" s="9" t="s">
        <v>163</v>
      </c>
      <c r="C294" s="9" t="s">
        <v>164</v>
      </c>
      <c r="D294" s="9" t="s">
        <v>10</v>
      </c>
      <c r="E294" s="21"/>
      <c r="F294" s="21"/>
      <c r="G294" s="21"/>
    </row>
    <row r="295" spans="1:7" ht="121.5" hidden="1">
      <c r="A295" s="11" t="s">
        <v>160</v>
      </c>
      <c r="B295" s="8" t="s">
        <v>163</v>
      </c>
      <c r="C295" s="8" t="s">
        <v>161</v>
      </c>
      <c r="D295" s="9"/>
      <c r="E295" s="20">
        <f>E296+E297</f>
        <v>0</v>
      </c>
      <c r="F295" s="20">
        <f>F296+F297</f>
        <v>0</v>
      </c>
      <c r="G295" s="20">
        <f>G296+G297</f>
        <v>0</v>
      </c>
    </row>
    <row r="296" spans="1:7" ht="144" hidden="1">
      <c r="A296" s="10" t="s">
        <v>5</v>
      </c>
      <c r="B296" s="9" t="s">
        <v>163</v>
      </c>
      <c r="C296" s="9" t="s">
        <v>161</v>
      </c>
      <c r="D296" s="9" t="s">
        <v>6</v>
      </c>
      <c r="E296" s="21"/>
      <c r="F296" s="21"/>
      <c r="G296" s="21"/>
    </row>
    <row r="297" spans="1:7" s="18" customFormat="1" ht="54" hidden="1">
      <c r="A297" s="10" t="s">
        <v>9</v>
      </c>
      <c r="B297" s="9" t="s">
        <v>163</v>
      </c>
      <c r="C297" s="9" t="s">
        <v>161</v>
      </c>
      <c r="D297" s="9" t="s">
        <v>10</v>
      </c>
      <c r="E297" s="21"/>
      <c r="F297" s="21"/>
      <c r="G297" s="21"/>
    </row>
    <row r="298" spans="1:7" s="24" customFormat="1" ht="69">
      <c r="A298" s="11" t="s">
        <v>101</v>
      </c>
      <c r="B298" s="8" t="s">
        <v>163</v>
      </c>
      <c r="C298" s="8" t="s">
        <v>149</v>
      </c>
      <c r="D298" s="8"/>
      <c r="E298" s="20">
        <f>E299</f>
        <v>0</v>
      </c>
      <c r="F298" s="20">
        <f>F299</f>
        <v>0</v>
      </c>
      <c r="G298" s="20">
        <f>G299</f>
        <v>2632235</v>
      </c>
    </row>
    <row r="299" spans="1:7" ht="144">
      <c r="A299" s="10" t="s">
        <v>5</v>
      </c>
      <c r="B299" s="9" t="s">
        <v>163</v>
      </c>
      <c r="C299" s="9" t="s">
        <v>149</v>
      </c>
      <c r="D299" s="9" t="s">
        <v>6</v>
      </c>
      <c r="E299" s="21"/>
      <c r="F299" s="21"/>
      <c r="G299" s="21">
        <f>2632235</f>
        <v>2632235</v>
      </c>
    </row>
    <row r="300" spans="1:7" ht="17.25">
      <c r="A300" s="11" t="s">
        <v>67</v>
      </c>
      <c r="B300" s="8" t="s">
        <v>68</v>
      </c>
      <c r="C300" s="8" t="s">
        <v>0</v>
      </c>
      <c r="D300" s="8" t="s">
        <v>0</v>
      </c>
      <c r="E300" s="20">
        <f>E301+E304+E315+E323</f>
        <v>17345442</v>
      </c>
      <c r="F300" s="20">
        <f>F301+F304+F315+F323</f>
        <v>18427642</v>
      </c>
      <c r="G300" s="20">
        <f>G301+G304+G315+G323</f>
        <v>16008242</v>
      </c>
    </row>
    <row r="301" spans="1:7" ht="17.25">
      <c r="A301" s="11" t="s">
        <v>69</v>
      </c>
      <c r="B301" s="8" t="s">
        <v>70</v>
      </c>
      <c r="C301" s="8" t="s">
        <v>0</v>
      </c>
      <c r="D301" s="8" t="s">
        <v>0</v>
      </c>
      <c r="E301" s="20">
        <f aca="true" t="shared" si="9" ref="E301:G302">E302</f>
        <v>1604742</v>
      </c>
      <c r="F301" s="20">
        <f t="shared" si="9"/>
        <v>1604742</v>
      </c>
      <c r="G301" s="20">
        <f t="shared" si="9"/>
        <v>1604742</v>
      </c>
    </row>
    <row r="302" spans="1:7" ht="69">
      <c r="A302" s="11" t="s">
        <v>101</v>
      </c>
      <c r="B302" s="8" t="s">
        <v>70</v>
      </c>
      <c r="C302" s="8" t="s">
        <v>135</v>
      </c>
      <c r="D302" s="8" t="s">
        <v>0</v>
      </c>
      <c r="E302" s="20">
        <f t="shared" si="9"/>
        <v>1604742</v>
      </c>
      <c r="F302" s="20">
        <f t="shared" si="9"/>
        <v>1604742</v>
      </c>
      <c r="G302" s="20">
        <f t="shared" si="9"/>
        <v>1604742</v>
      </c>
    </row>
    <row r="303" spans="1:7" ht="36">
      <c r="A303" s="10" t="s">
        <v>32</v>
      </c>
      <c r="B303" s="9" t="s">
        <v>70</v>
      </c>
      <c r="C303" s="9" t="s">
        <v>135</v>
      </c>
      <c r="D303" s="9" t="s">
        <v>33</v>
      </c>
      <c r="E303" s="21">
        <f>1604742</f>
        <v>1604742</v>
      </c>
      <c r="F303" s="21">
        <f>1604742</f>
        <v>1604742</v>
      </c>
      <c r="G303" s="21">
        <f>1604742</f>
        <v>1604742</v>
      </c>
    </row>
    <row r="304" spans="1:7" ht="36" customHeight="1">
      <c r="A304" s="11" t="s">
        <v>71</v>
      </c>
      <c r="B304" s="8" t="s">
        <v>72</v>
      </c>
      <c r="C304" s="8" t="s">
        <v>0</v>
      </c>
      <c r="D304" s="8" t="s">
        <v>0</v>
      </c>
      <c r="E304" s="20">
        <f>E305+E308+E310</f>
        <v>8301102</v>
      </c>
      <c r="F304" s="20">
        <f>F305+F308+F310</f>
        <v>9692802</v>
      </c>
      <c r="G304" s="20">
        <f>G305+G308+G310</f>
        <v>7263502</v>
      </c>
    </row>
    <row r="305" spans="1:7" ht="138.75">
      <c r="A305" s="11" t="s">
        <v>176</v>
      </c>
      <c r="B305" s="8" t="s">
        <v>72</v>
      </c>
      <c r="C305" s="8" t="s">
        <v>134</v>
      </c>
      <c r="D305" s="8"/>
      <c r="E305" s="20">
        <f>SUM(E306:E307)</f>
        <v>75000</v>
      </c>
      <c r="F305" s="20">
        <f>SUM(F306:F307)</f>
        <v>0</v>
      </c>
      <c r="G305" s="20">
        <f>SUM(G306:G307)</f>
        <v>0</v>
      </c>
    </row>
    <row r="306" spans="1:7" ht="59.25" customHeight="1">
      <c r="A306" s="10" t="s">
        <v>9</v>
      </c>
      <c r="B306" s="9" t="s">
        <v>72</v>
      </c>
      <c r="C306" s="9" t="s">
        <v>134</v>
      </c>
      <c r="D306" s="9" t="s">
        <v>10</v>
      </c>
      <c r="E306" s="21">
        <f>75000</f>
        <v>75000</v>
      </c>
      <c r="F306" s="21"/>
      <c r="G306" s="21"/>
    </row>
    <row r="307" spans="1:7" ht="18" hidden="1">
      <c r="A307" s="10" t="s">
        <v>12</v>
      </c>
      <c r="B307" s="9" t="s">
        <v>72</v>
      </c>
      <c r="C307" s="9" t="s">
        <v>98</v>
      </c>
      <c r="D307" s="9" t="s">
        <v>13</v>
      </c>
      <c r="E307" s="21"/>
      <c r="F307" s="21"/>
      <c r="G307" s="21"/>
    </row>
    <row r="308" spans="1:7" ht="51.75" hidden="1">
      <c r="A308" s="11" t="s">
        <v>185</v>
      </c>
      <c r="B308" s="8" t="s">
        <v>72</v>
      </c>
      <c r="C308" s="8" t="s">
        <v>144</v>
      </c>
      <c r="D308" s="8" t="s">
        <v>0</v>
      </c>
      <c r="E308" s="20">
        <f>SUM(E309:E309)</f>
        <v>0</v>
      </c>
      <c r="F308" s="20">
        <f>SUM(F309:F309)</f>
        <v>0</v>
      </c>
      <c r="G308" s="20">
        <f>SUM(G309:G309)</f>
        <v>0</v>
      </c>
    </row>
    <row r="309" spans="1:7" ht="36" hidden="1">
      <c r="A309" s="10" t="s">
        <v>32</v>
      </c>
      <c r="B309" s="9" t="s">
        <v>72</v>
      </c>
      <c r="C309" s="9" t="s">
        <v>144</v>
      </c>
      <c r="D309" s="9" t="s">
        <v>33</v>
      </c>
      <c r="E309" s="21"/>
      <c r="F309" s="21"/>
      <c r="G309" s="21"/>
    </row>
    <row r="310" spans="1:7" ht="72.75" customHeight="1">
      <c r="A310" s="11" t="s">
        <v>101</v>
      </c>
      <c r="B310" s="8" t="s">
        <v>72</v>
      </c>
      <c r="C310" s="8" t="s">
        <v>135</v>
      </c>
      <c r="D310" s="8" t="s">
        <v>0</v>
      </c>
      <c r="E310" s="20">
        <f>SUM(E311:E314)</f>
        <v>8226102</v>
      </c>
      <c r="F310" s="20">
        <f>SUM(F311:F314)</f>
        <v>9692802</v>
      </c>
      <c r="G310" s="20">
        <f>SUM(G311:G314)</f>
        <v>7263502</v>
      </c>
    </row>
    <row r="311" spans="1:7" ht="129.75" customHeight="1">
      <c r="A311" s="10" t="s">
        <v>5</v>
      </c>
      <c r="B311" s="9" t="s">
        <v>72</v>
      </c>
      <c r="C311" s="9" t="s">
        <v>135</v>
      </c>
      <c r="D311" s="9" t="s">
        <v>6</v>
      </c>
      <c r="E311" s="21">
        <f>77500+2505600+1142500</f>
        <v>3725600</v>
      </c>
      <c r="F311" s="21">
        <f>77500+2505600+1142500</f>
        <v>3725600</v>
      </c>
      <c r="G311" s="21">
        <f>77500+2505600+1142500</f>
        <v>3725600</v>
      </c>
    </row>
    <row r="312" spans="1:7" ht="54" hidden="1">
      <c r="A312" s="10" t="s">
        <v>9</v>
      </c>
      <c r="B312" s="9" t="s">
        <v>72</v>
      </c>
      <c r="C312" s="9" t="s">
        <v>135</v>
      </c>
      <c r="D312" s="9" t="s">
        <v>10</v>
      </c>
      <c r="E312" s="21"/>
      <c r="F312" s="21"/>
      <c r="G312" s="21"/>
    </row>
    <row r="313" spans="1:7" ht="35.25" customHeight="1">
      <c r="A313" s="10" t="s">
        <v>32</v>
      </c>
      <c r="B313" s="9" t="s">
        <v>72</v>
      </c>
      <c r="C313" s="9" t="s">
        <v>135</v>
      </c>
      <c r="D313" s="9" t="s">
        <v>33</v>
      </c>
      <c r="E313" s="21">
        <f>4500502</f>
        <v>4500502</v>
      </c>
      <c r="F313" s="21">
        <f>5967202</f>
        <v>5967202</v>
      </c>
      <c r="G313" s="21">
        <f>3537902</f>
        <v>3537902</v>
      </c>
    </row>
    <row r="314" spans="1:7" ht="72" hidden="1">
      <c r="A314" s="10" t="s">
        <v>26</v>
      </c>
      <c r="B314" s="9" t="s">
        <v>72</v>
      </c>
      <c r="C314" s="9" t="s">
        <v>135</v>
      </c>
      <c r="D314" s="9" t="s">
        <v>27</v>
      </c>
      <c r="E314" s="21"/>
      <c r="F314" s="21"/>
      <c r="G314" s="21"/>
    </row>
    <row r="315" spans="1:7" ht="17.25">
      <c r="A315" s="11" t="s">
        <v>73</v>
      </c>
      <c r="B315" s="8" t="s">
        <v>74</v>
      </c>
      <c r="C315" s="8" t="s">
        <v>0</v>
      </c>
      <c r="D315" s="8" t="s">
        <v>0</v>
      </c>
      <c r="E315" s="20">
        <f>E318+E316</f>
        <v>6991800</v>
      </c>
      <c r="F315" s="20">
        <f>F318+F316</f>
        <v>6682300</v>
      </c>
      <c r="G315" s="20">
        <f>G318+G316</f>
        <v>6692200</v>
      </c>
    </row>
    <row r="316" spans="1:7" ht="51.75">
      <c r="A316" s="11" t="s">
        <v>185</v>
      </c>
      <c r="B316" s="8" t="s">
        <v>74</v>
      </c>
      <c r="C316" s="8" t="s">
        <v>144</v>
      </c>
      <c r="D316" s="8"/>
      <c r="E316" s="20">
        <f>E317</f>
        <v>369000</v>
      </c>
      <c r="F316" s="20">
        <f>F317</f>
        <v>0</v>
      </c>
      <c r="G316" s="20">
        <f>G317</f>
        <v>0</v>
      </c>
    </row>
    <row r="317" spans="1:7" ht="36">
      <c r="A317" s="10" t="s">
        <v>32</v>
      </c>
      <c r="B317" s="8" t="s">
        <v>74</v>
      </c>
      <c r="C317" s="9" t="s">
        <v>144</v>
      </c>
      <c r="D317" s="9" t="s">
        <v>33</v>
      </c>
      <c r="E317" s="21">
        <f>369000</f>
        <v>369000</v>
      </c>
      <c r="F317" s="20"/>
      <c r="G317" s="20"/>
    </row>
    <row r="318" spans="1:7" ht="75" customHeight="1">
      <c r="A318" s="11" t="s">
        <v>101</v>
      </c>
      <c r="B318" s="8" t="s">
        <v>74</v>
      </c>
      <c r="C318" s="8" t="s">
        <v>135</v>
      </c>
      <c r="D318" s="8" t="s">
        <v>0</v>
      </c>
      <c r="E318" s="20">
        <f>SUM(E319:E322)</f>
        <v>6622800</v>
      </c>
      <c r="F318" s="20">
        <f>SUM(F319:F322)</f>
        <v>6682300</v>
      </c>
      <c r="G318" s="20">
        <f>SUM(G319:G322)</f>
        <v>6692200</v>
      </c>
    </row>
    <row r="319" spans="1:7" ht="144" hidden="1">
      <c r="A319" s="10" t="s">
        <v>5</v>
      </c>
      <c r="B319" s="9" t="s">
        <v>74</v>
      </c>
      <c r="C319" s="9" t="s">
        <v>11</v>
      </c>
      <c r="D319" s="9" t="s">
        <v>6</v>
      </c>
      <c r="E319" s="20"/>
      <c r="F319" s="20"/>
      <c r="G319" s="20"/>
    </row>
    <row r="320" spans="1:7" ht="54" hidden="1">
      <c r="A320" s="10" t="s">
        <v>9</v>
      </c>
      <c r="B320" s="9" t="s">
        <v>74</v>
      </c>
      <c r="C320" s="9" t="s">
        <v>135</v>
      </c>
      <c r="D320" s="9" t="s">
        <v>10</v>
      </c>
      <c r="E320" s="21"/>
      <c r="F320" s="21"/>
      <c r="G320" s="21"/>
    </row>
    <row r="321" spans="1:7" ht="35.25" customHeight="1">
      <c r="A321" s="10" t="s">
        <v>32</v>
      </c>
      <c r="B321" s="9" t="s">
        <v>74</v>
      </c>
      <c r="C321" s="9" t="s">
        <v>135</v>
      </c>
      <c r="D321" s="9" t="s">
        <v>33</v>
      </c>
      <c r="E321" s="21">
        <f>187700+4163600+1889300+382200</f>
        <v>6622800</v>
      </c>
      <c r="F321" s="21">
        <f>247200+4163600+1889300+382200</f>
        <v>6682300</v>
      </c>
      <c r="G321" s="21">
        <f>257100+4163600+1889300+382200</f>
        <v>6692200</v>
      </c>
    </row>
    <row r="322" spans="1:7" ht="72" hidden="1">
      <c r="A322" s="10" t="s">
        <v>26</v>
      </c>
      <c r="B322" s="9" t="s">
        <v>74</v>
      </c>
      <c r="C322" s="9" t="s">
        <v>135</v>
      </c>
      <c r="D322" s="9" t="s">
        <v>27</v>
      </c>
      <c r="E322" s="21"/>
      <c r="F322" s="21"/>
      <c r="G322" s="21"/>
    </row>
    <row r="323" spans="1:7" ht="34.5">
      <c r="A323" s="11" t="s">
        <v>165</v>
      </c>
      <c r="B323" s="8" t="s">
        <v>166</v>
      </c>
      <c r="C323" s="9"/>
      <c r="D323" s="9"/>
      <c r="E323" s="20">
        <f>E324</f>
        <v>447798</v>
      </c>
      <c r="F323" s="20">
        <f>F324</f>
        <v>447798</v>
      </c>
      <c r="G323" s="20">
        <f>G324</f>
        <v>447798</v>
      </c>
    </row>
    <row r="324" spans="1:7" ht="81" customHeight="1">
      <c r="A324" s="11" t="s">
        <v>101</v>
      </c>
      <c r="B324" s="8" t="s">
        <v>166</v>
      </c>
      <c r="C324" s="8" t="s">
        <v>149</v>
      </c>
      <c r="D324" s="8"/>
      <c r="E324" s="20">
        <f>SUM(E325:E326)</f>
        <v>447798</v>
      </c>
      <c r="F324" s="20">
        <f>SUM(F325:F326)</f>
        <v>447798</v>
      </c>
      <c r="G324" s="20">
        <f>SUM(G325:G326)</f>
        <v>447798</v>
      </c>
    </row>
    <row r="325" spans="1:7" ht="144">
      <c r="A325" s="10" t="s">
        <v>5</v>
      </c>
      <c r="B325" s="9" t="s">
        <v>166</v>
      </c>
      <c r="C325" s="9" t="s">
        <v>149</v>
      </c>
      <c r="D325" s="9" t="s">
        <v>6</v>
      </c>
      <c r="E325" s="21">
        <f>447798</f>
        <v>447798</v>
      </c>
      <c r="F325" s="21">
        <f>447798</f>
        <v>447798</v>
      </c>
      <c r="G325" s="21">
        <f>447798</f>
        <v>447798</v>
      </c>
    </row>
    <row r="326" spans="1:7" ht="54" hidden="1">
      <c r="A326" s="10" t="s">
        <v>9</v>
      </c>
      <c r="B326" s="9" t="s">
        <v>166</v>
      </c>
      <c r="C326" s="9" t="s">
        <v>149</v>
      </c>
      <c r="D326" s="9" t="s">
        <v>10</v>
      </c>
      <c r="E326" s="21"/>
      <c r="F326" s="21"/>
      <c r="G326" s="21"/>
    </row>
    <row r="327" spans="1:7" ht="34.5">
      <c r="A327" s="11" t="s">
        <v>75</v>
      </c>
      <c r="B327" s="8" t="s">
        <v>76</v>
      </c>
      <c r="C327" s="8" t="s">
        <v>0</v>
      </c>
      <c r="D327" s="8" t="s">
        <v>0</v>
      </c>
      <c r="E327" s="20">
        <f aca="true" t="shared" si="10" ref="E327:G328">E328</f>
        <v>1350000</v>
      </c>
      <c r="F327" s="20">
        <f t="shared" si="10"/>
        <v>0</v>
      </c>
      <c r="G327" s="20">
        <f t="shared" si="10"/>
        <v>0</v>
      </c>
    </row>
    <row r="328" spans="1:7" ht="17.25">
      <c r="A328" s="11" t="s">
        <v>77</v>
      </c>
      <c r="B328" s="8" t="s">
        <v>78</v>
      </c>
      <c r="C328" s="8" t="s">
        <v>0</v>
      </c>
      <c r="D328" s="8" t="s">
        <v>0</v>
      </c>
      <c r="E328" s="20">
        <f t="shared" si="10"/>
        <v>1350000</v>
      </c>
      <c r="F328" s="20">
        <f t="shared" si="10"/>
        <v>0</v>
      </c>
      <c r="G328" s="20">
        <f t="shared" si="10"/>
        <v>0</v>
      </c>
    </row>
    <row r="329" spans="1:7" ht="102" customHeight="1">
      <c r="A329" s="11" t="s">
        <v>186</v>
      </c>
      <c r="B329" s="8" t="s">
        <v>78</v>
      </c>
      <c r="C329" s="8" t="s">
        <v>145</v>
      </c>
      <c r="D329" s="8" t="s">
        <v>0</v>
      </c>
      <c r="E329" s="20">
        <f>SUM(E330:E332)</f>
        <v>1350000</v>
      </c>
      <c r="F329" s="20">
        <f>SUM(F330:F332)</f>
        <v>0</v>
      </c>
      <c r="G329" s="20">
        <f>SUM(G330:G332)</f>
        <v>0</v>
      </c>
    </row>
    <row r="330" spans="1:7" ht="144">
      <c r="A330" s="10" t="s">
        <v>5</v>
      </c>
      <c r="B330" s="9" t="s">
        <v>78</v>
      </c>
      <c r="C330" s="9" t="s">
        <v>145</v>
      </c>
      <c r="D330" s="9" t="s">
        <v>6</v>
      </c>
      <c r="E330" s="21">
        <f>75000</f>
        <v>75000</v>
      </c>
      <c r="F330" s="21"/>
      <c r="G330" s="21"/>
    </row>
    <row r="331" spans="1:7" ht="54">
      <c r="A331" s="10" t="s">
        <v>9</v>
      </c>
      <c r="B331" s="9" t="s">
        <v>78</v>
      </c>
      <c r="C331" s="9" t="s">
        <v>145</v>
      </c>
      <c r="D331" s="9" t="s">
        <v>10</v>
      </c>
      <c r="E331" s="21">
        <v>75000</v>
      </c>
      <c r="F331" s="21"/>
      <c r="G331" s="21"/>
    </row>
    <row r="332" spans="1:7" ht="18">
      <c r="A332" s="10" t="s">
        <v>203</v>
      </c>
      <c r="B332" s="9" t="s">
        <v>78</v>
      </c>
      <c r="C332" s="9" t="s">
        <v>145</v>
      </c>
      <c r="D332" s="9" t="s">
        <v>31</v>
      </c>
      <c r="E332" s="21">
        <v>1200000</v>
      </c>
      <c r="F332" s="21"/>
      <c r="G332" s="21"/>
    </row>
    <row r="333" spans="1:7" ht="18">
      <c r="A333" s="10"/>
      <c r="B333" s="9"/>
      <c r="C333" s="9"/>
      <c r="D333" s="9"/>
      <c r="E333" s="21"/>
      <c r="F333" s="21"/>
      <c r="G333" s="21"/>
    </row>
    <row r="334" spans="1:7" ht="33" customHeight="1">
      <c r="A334" s="11" t="s">
        <v>79</v>
      </c>
      <c r="B334" s="8" t="s">
        <v>80</v>
      </c>
      <c r="C334" s="8" t="s">
        <v>0</v>
      </c>
      <c r="D334" s="8" t="s">
        <v>0</v>
      </c>
      <c r="E334" s="20">
        <f>E335+E348+E343</f>
        <v>2170700</v>
      </c>
      <c r="F334" s="20">
        <f>F335+F348+F343</f>
        <v>1420700</v>
      </c>
      <c r="G334" s="20">
        <f>G335+G348+G343</f>
        <v>1420700</v>
      </c>
    </row>
    <row r="335" spans="1:7" ht="17.25" hidden="1">
      <c r="A335" s="11" t="s">
        <v>81</v>
      </c>
      <c r="B335" s="8" t="s">
        <v>82</v>
      </c>
      <c r="C335" s="8" t="s">
        <v>0</v>
      </c>
      <c r="D335" s="8" t="s">
        <v>0</v>
      </c>
      <c r="E335" s="20">
        <f>E336+E340</f>
        <v>0</v>
      </c>
      <c r="F335" s="20">
        <f>F336+F340</f>
        <v>0</v>
      </c>
      <c r="G335" s="20">
        <f>G336+G340</f>
        <v>0</v>
      </c>
    </row>
    <row r="336" spans="1:7" ht="121.5" hidden="1">
      <c r="A336" s="12" t="s">
        <v>116</v>
      </c>
      <c r="B336" s="8" t="s">
        <v>82</v>
      </c>
      <c r="C336" s="8" t="s">
        <v>51</v>
      </c>
      <c r="D336" s="8" t="s">
        <v>0</v>
      </c>
      <c r="E336" s="20">
        <f>SUM(E337:E339)</f>
        <v>0</v>
      </c>
      <c r="F336" s="20">
        <f>SUM(F337:F339)</f>
        <v>0</v>
      </c>
      <c r="G336" s="20">
        <f>SUM(G337:G339)</f>
        <v>0</v>
      </c>
    </row>
    <row r="337" spans="1:7" ht="144" hidden="1">
      <c r="A337" s="10" t="s">
        <v>5</v>
      </c>
      <c r="B337" s="9" t="s">
        <v>82</v>
      </c>
      <c r="C337" s="9" t="s">
        <v>51</v>
      </c>
      <c r="D337" s="9" t="s">
        <v>6</v>
      </c>
      <c r="E337" s="21"/>
      <c r="F337" s="21"/>
      <c r="G337" s="21"/>
    </row>
    <row r="338" spans="1:7" ht="54" hidden="1">
      <c r="A338" s="10" t="s">
        <v>9</v>
      </c>
      <c r="B338" s="9" t="s">
        <v>82</v>
      </c>
      <c r="C338" s="9" t="s">
        <v>51</v>
      </c>
      <c r="D338" s="9" t="s">
        <v>10</v>
      </c>
      <c r="E338" s="21"/>
      <c r="F338" s="21"/>
      <c r="G338" s="21"/>
    </row>
    <row r="339" spans="1:7" ht="18" hidden="1">
      <c r="A339" s="10" t="s">
        <v>12</v>
      </c>
      <c r="B339" s="9" t="s">
        <v>82</v>
      </c>
      <c r="C339" s="9" t="s">
        <v>51</v>
      </c>
      <c r="D339" s="9" t="s">
        <v>13</v>
      </c>
      <c r="E339" s="21"/>
      <c r="F339" s="21"/>
      <c r="G339" s="21"/>
    </row>
    <row r="340" spans="1:7" ht="69" customHeight="1" hidden="1">
      <c r="A340" s="11" t="s">
        <v>101</v>
      </c>
      <c r="B340" s="8" t="s">
        <v>82</v>
      </c>
      <c r="C340" s="8" t="s">
        <v>11</v>
      </c>
      <c r="D340" s="8" t="s">
        <v>0</v>
      </c>
      <c r="E340" s="20">
        <f>SUM(E341:E342)</f>
        <v>0</v>
      </c>
      <c r="F340" s="20">
        <f>SUM(F341:F342)</f>
        <v>0</v>
      </c>
      <c r="G340" s="20">
        <f>SUM(G341:G342)</f>
        <v>0</v>
      </c>
    </row>
    <row r="341" spans="1:7" ht="144" hidden="1">
      <c r="A341" s="10" t="s">
        <v>5</v>
      </c>
      <c r="B341" s="9" t="s">
        <v>82</v>
      </c>
      <c r="C341" s="9" t="s">
        <v>11</v>
      </c>
      <c r="D341" s="9" t="s">
        <v>6</v>
      </c>
      <c r="E341" s="20"/>
      <c r="F341" s="20"/>
      <c r="G341" s="21"/>
    </row>
    <row r="342" spans="1:7" ht="18" hidden="1">
      <c r="A342" s="10" t="s">
        <v>12</v>
      </c>
      <c r="B342" s="9" t="s">
        <v>82</v>
      </c>
      <c r="C342" s="9" t="s">
        <v>11</v>
      </c>
      <c r="D342" s="9" t="s">
        <v>13</v>
      </c>
      <c r="E342" s="21"/>
      <c r="F342" s="21"/>
      <c r="G342" s="21"/>
    </row>
    <row r="343" spans="1:7" ht="34.5">
      <c r="A343" s="11" t="s">
        <v>173</v>
      </c>
      <c r="B343" s="8" t="s">
        <v>171</v>
      </c>
      <c r="C343" s="9"/>
      <c r="D343" s="9"/>
      <c r="E343" s="20">
        <f>E344+E346</f>
        <v>1420700</v>
      </c>
      <c r="F343" s="20">
        <f>F344+F346</f>
        <v>1420700</v>
      </c>
      <c r="G343" s="20">
        <f>G344+G346</f>
        <v>1420700</v>
      </c>
    </row>
    <row r="344" spans="1:7" ht="121.5">
      <c r="A344" s="11" t="s">
        <v>187</v>
      </c>
      <c r="B344" s="8" t="s">
        <v>171</v>
      </c>
      <c r="C344" s="8" t="s">
        <v>172</v>
      </c>
      <c r="D344" s="9"/>
      <c r="E344" s="20">
        <f>E345</f>
        <v>1420700</v>
      </c>
      <c r="F344" s="20">
        <f>F345</f>
        <v>1420700</v>
      </c>
      <c r="G344" s="20">
        <f>G345</f>
        <v>0</v>
      </c>
    </row>
    <row r="345" spans="1:7" ht="29.25" customHeight="1">
      <c r="A345" s="10" t="s">
        <v>12</v>
      </c>
      <c r="B345" s="8" t="s">
        <v>171</v>
      </c>
      <c r="C345" s="9" t="s">
        <v>172</v>
      </c>
      <c r="D345" s="9" t="s">
        <v>13</v>
      </c>
      <c r="E345" s="21">
        <f>1420700</f>
        <v>1420700</v>
      </c>
      <c r="F345" s="21">
        <f>1420700</f>
        <v>1420700</v>
      </c>
      <c r="G345" s="21"/>
    </row>
    <row r="346" spans="1:7" ht="69">
      <c r="A346" s="11" t="s">
        <v>101</v>
      </c>
      <c r="B346" s="8" t="s">
        <v>171</v>
      </c>
      <c r="C346" s="8" t="s">
        <v>149</v>
      </c>
      <c r="D346" s="9"/>
      <c r="E346" s="20">
        <f>E347</f>
        <v>0</v>
      </c>
      <c r="F346" s="20">
        <f>F347</f>
        <v>0</v>
      </c>
      <c r="G346" s="20">
        <f>G347</f>
        <v>1420700</v>
      </c>
    </row>
    <row r="347" spans="1:7" ht="18">
      <c r="A347" s="10" t="s">
        <v>12</v>
      </c>
      <c r="B347" s="8" t="s">
        <v>171</v>
      </c>
      <c r="C347" s="9" t="s">
        <v>149</v>
      </c>
      <c r="D347" s="9" t="s">
        <v>13</v>
      </c>
      <c r="E347" s="21"/>
      <c r="F347" s="21"/>
      <c r="G347" s="21">
        <f>1420700</f>
        <v>1420700</v>
      </c>
    </row>
    <row r="348" spans="1:7" ht="34.5">
      <c r="A348" s="11" t="s">
        <v>83</v>
      </c>
      <c r="B348" s="8" t="s">
        <v>84</v>
      </c>
      <c r="C348" s="8" t="s">
        <v>0</v>
      </c>
      <c r="D348" s="8" t="s">
        <v>0</v>
      </c>
      <c r="E348" s="20">
        <f>E349+E352</f>
        <v>750000</v>
      </c>
      <c r="F348" s="20">
        <f>F349+F352</f>
        <v>0</v>
      </c>
      <c r="G348" s="20">
        <f>G349+G352</f>
        <v>0</v>
      </c>
    </row>
    <row r="349" spans="1:7" ht="130.5" customHeight="1">
      <c r="A349" s="11" t="s">
        <v>187</v>
      </c>
      <c r="B349" s="8" t="s">
        <v>84</v>
      </c>
      <c r="C349" s="8" t="s">
        <v>146</v>
      </c>
      <c r="D349" s="8" t="s">
        <v>0</v>
      </c>
      <c r="E349" s="20">
        <f>SUM(E350:E351)</f>
        <v>750000</v>
      </c>
      <c r="F349" s="20">
        <f>SUM(F350:F351)</f>
        <v>0</v>
      </c>
      <c r="G349" s="20">
        <f>SUM(G350:G351)</f>
        <v>0</v>
      </c>
    </row>
    <row r="350" spans="1:7" ht="57" customHeight="1" hidden="1">
      <c r="A350" s="10" t="s">
        <v>9</v>
      </c>
      <c r="B350" s="9" t="s">
        <v>84</v>
      </c>
      <c r="C350" s="9" t="s">
        <v>51</v>
      </c>
      <c r="D350" s="9" t="s">
        <v>10</v>
      </c>
      <c r="E350" s="21"/>
      <c r="F350" s="21"/>
      <c r="G350" s="21"/>
    </row>
    <row r="351" spans="1:7" ht="21" customHeight="1">
      <c r="A351" s="10" t="s">
        <v>12</v>
      </c>
      <c r="B351" s="9" t="s">
        <v>84</v>
      </c>
      <c r="C351" s="9" t="s">
        <v>146</v>
      </c>
      <c r="D351" s="9" t="s">
        <v>13</v>
      </c>
      <c r="E351" s="21">
        <f>750000</f>
        <v>750000</v>
      </c>
      <c r="F351" s="21"/>
      <c r="G351" s="21"/>
    </row>
    <row r="352" spans="1:7" s="24" customFormat="1" ht="84.75" customHeight="1" hidden="1">
      <c r="A352" s="11" t="s">
        <v>101</v>
      </c>
      <c r="B352" s="8" t="s">
        <v>84</v>
      </c>
      <c r="C352" s="8" t="s">
        <v>149</v>
      </c>
      <c r="D352" s="8"/>
      <c r="E352" s="20">
        <f>E353</f>
        <v>0</v>
      </c>
      <c r="F352" s="20">
        <f>F353</f>
        <v>0</v>
      </c>
      <c r="G352" s="20">
        <f>G353</f>
        <v>0</v>
      </c>
    </row>
    <row r="353" spans="1:7" ht="21" customHeight="1" hidden="1">
      <c r="A353" s="10" t="s">
        <v>12</v>
      </c>
      <c r="B353" s="9" t="s">
        <v>84</v>
      </c>
      <c r="C353" s="9" t="s">
        <v>149</v>
      </c>
      <c r="D353" s="9" t="s">
        <v>13</v>
      </c>
      <c r="E353" s="21"/>
      <c r="F353" s="21"/>
      <c r="G353" s="21"/>
    </row>
    <row r="354" spans="1:7" ht="51.75" hidden="1">
      <c r="A354" s="11" t="s">
        <v>85</v>
      </c>
      <c r="B354" s="8" t="s">
        <v>86</v>
      </c>
      <c r="C354" s="8" t="s">
        <v>0</v>
      </c>
      <c r="D354" s="8" t="s">
        <v>0</v>
      </c>
      <c r="E354" s="20">
        <f>E355</f>
        <v>0</v>
      </c>
      <c r="F354" s="20">
        <f aca="true" t="shared" si="11" ref="F354:G356">F355</f>
        <v>0</v>
      </c>
      <c r="G354" s="20">
        <f t="shared" si="11"/>
        <v>0</v>
      </c>
    </row>
    <row r="355" spans="1:7" ht="51.75" hidden="1">
      <c r="A355" s="11" t="s">
        <v>87</v>
      </c>
      <c r="B355" s="8" t="s">
        <v>88</v>
      </c>
      <c r="C355" s="8" t="s">
        <v>0</v>
      </c>
      <c r="D355" s="8" t="s">
        <v>0</v>
      </c>
      <c r="E355" s="20">
        <f>E356</f>
        <v>0</v>
      </c>
      <c r="F355" s="20">
        <f t="shared" si="11"/>
        <v>0</v>
      </c>
      <c r="G355" s="20">
        <f t="shared" si="11"/>
        <v>0</v>
      </c>
    </row>
    <row r="356" spans="1:7" ht="69" hidden="1">
      <c r="A356" s="11" t="s">
        <v>101</v>
      </c>
      <c r="B356" s="8" t="s">
        <v>88</v>
      </c>
      <c r="C356" s="8" t="s">
        <v>135</v>
      </c>
      <c r="D356" s="8" t="s">
        <v>0</v>
      </c>
      <c r="E356" s="20">
        <f>E357</f>
        <v>0</v>
      </c>
      <c r="F356" s="20">
        <f t="shared" si="11"/>
        <v>0</v>
      </c>
      <c r="G356" s="20">
        <f t="shared" si="11"/>
        <v>0</v>
      </c>
    </row>
    <row r="357" spans="1:7" ht="57.75" customHeight="1" hidden="1">
      <c r="A357" s="10" t="s">
        <v>28</v>
      </c>
      <c r="B357" s="9" t="s">
        <v>88</v>
      </c>
      <c r="C357" s="9" t="s">
        <v>135</v>
      </c>
      <c r="D357" s="9" t="s">
        <v>29</v>
      </c>
      <c r="E357" s="21"/>
      <c r="F357" s="21"/>
      <c r="G357" s="21"/>
    </row>
    <row r="358" spans="1:7" ht="121.5">
      <c r="A358" s="11" t="s">
        <v>128</v>
      </c>
      <c r="B358" s="8" t="s">
        <v>129</v>
      </c>
      <c r="C358" s="9"/>
      <c r="D358" s="9"/>
      <c r="E358" s="20">
        <f aca="true" t="shared" si="12" ref="E358:G360">E359</f>
        <v>41734308</v>
      </c>
      <c r="F358" s="20">
        <f t="shared" si="12"/>
        <v>22503580</v>
      </c>
      <c r="G358" s="20">
        <f t="shared" si="12"/>
        <v>22503580</v>
      </c>
    </row>
    <row r="359" spans="1:7" ht="34.5">
      <c r="A359" s="22" t="s">
        <v>130</v>
      </c>
      <c r="B359" s="8" t="s">
        <v>131</v>
      </c>
      <c r="C359" s="9"/>
      <c r="D359" s="9"/>
      <c r="E359" s="20">
        <f t="shared" si="12"/>
        <v>41734308</v>
      </c>
      <c r="F359" s="20">
        <f t="shared" si="12"/>
        <v>22503580</v>
      </c>
      <c r="G359" s="20">
        <f t="shared" si="12"/>
        <v>22503580</v>
      </c>
    </row>
    <row r="360" spans="1:7" ht="69">
      <c r="A360" s="11" t="s">
        <v>101</v>
      </c>
      <c r="B360" s="8" t="s">
        <v>131</v>
      </c>
      <c r="C360" s="8" t="s">
        <v>135</v>
      </c>
      <c r="D360" s="9"/>
      <c r="E360" s="20">
        <f t="shared" si="12"/>
        <v>41734308</v>
      </c>
      <c r="F360" s="20">
        <f t="shared" si="12"/>
        <v>22503580</v>
      </c>
      <c r="G360" s="20">
        <f t="shared" si="12"/>
        <v>22503580</v>
      </c>
    </row>
    <row r="361" spans="1:7" ht="18">
      <c r="A361" s="10" t="s">
        <v>24</v>
      </c>
      <c r="B361" s="9" t="s">
        <v>131</v>
      </c>
      <c r="C361" s="9" t="s">
        <v>135</v>
      </c>
      <c r="D361" s="9" t="s">
        <v>25</v>
      </c>
      <c r="E361" s="21">
        <f>3378728+2400000+23568080+8000000+4335500+52000</f>
        <v>41734308</v>
      </c>
      <c r="F361" s="21">
        <f>4335500+18168080</f>
        <v>22503580</v>
      </c>
      <c r="G361" s="21">
        <f>4335500+18168080</f>
        <v>22503580</v>
      </c>
    </row>
    <row r="362" spans="1:7" ht="17.25">
      <c r="A362" s="13" t="s">
        <v>97</v>
      </c>
      <c r="B362" s="14"/>
      <c r="C362" s="14"/>
      <c r="D362" s="14"/>
      <c r="E362" s="23">
        <f>E8+E101+E123+E146+E274+E300+E327+E334+E354+E89+E142+E358</f>
        <v>486729944.33</v>
      </c>
      <c r="F362" s="23">
        <f>F8+F101+F123+F146+F274+F300+F327+F334+F354+F89+F142+F358</f>
        <v>385240576.19</v>
      </c>
      <c r="G362" s="23">
        <f>G8+G101+G123+G146+G274+G300+G327+G334+G354+G89+G142+G358</f>
        <v>348447055</v>
      </c>
    </row>
    <row r="364" spans="5:7" ht="12.75">
      <c r="E364" s="17"/>
      <c r="F364" s="17"/>
      <c r="G364" s="17"/>
    </row>
    <row r="366" spans="5:7" ht="12.75">
      <c r="E366" s="17"/>
      <c r="F366" s="19"/>
      <c r="G366" s="19"/>
    </row>
  </sheetData>
  <sheetProtection/>
  <mergeCells count="2">
    <mergeCell ref="A2:G2"/>
    <mergeCell ref="C1:G1"/>
  </mergeCells>
  <printOptions/>
  <pageMargins left="0.75" right="0.75" top="1" bottom="1" header="0.5" footer="0.5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2022-11-10T12:10:13Z</cp:lastPrinted>
  <dcterms:created xsi:type="dcterms:W3CDTF">2002-03-11T10:22:12Z</dcterms:created>
  <dcterms:modified xsi:type="dcterms:W3CDTF">2023-11-14T10:58:50Z</dcterms:modified>
  <cp:category/>
  <cp:version/>
  <cp:contentType/>
  <cp:contentStatus/>
</cp:coreProperties>
</file>